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verdantcc-my.sharepoint.com/personal/jpatton_verdantcc_com/Documents/Documents/Utility Program/National Grid/PEX MA/IRBD C&amp;I GAS/"/>
    </mc:Choice>
  </mc:AlternateContent>
  <xr:revisionPtr revIDLastSave="23" documentId="8_{D2FBA216-131F-43D7-A322-C60583E4292E}" xr6:coauthVersionLast="47" xr6:coauthVersionMax="47" xr10:uidLastSave="{DAF4C26B-4C2D-4242-BA17-BE9D11FC1AA9}"/>
  <bookViews>
    <workbookView xWindow="-28920" yWindow="-60" windowWidth="29040" windowHeight="15840" xr2:uid="{00000000-000D-0000-FFFF-FFFF00000000}"/>
  </bookViews>
  <sheets>
    <sheet name="MA C&amp;I GAS" sheetId="1" r:id="rId1"/>
    <sheet name="Blended Rates MA C&amp;I GAS" sheetId="4" r:id="rId2"/>
    <sheet name="Small Business" sheetId="2" state="hidden" r:id="rId3"/>
    <sheet name="Blended Rates SB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D14" i="5"/>
  <c r="K24" i="5" s="1"/>
  <c r="D10" i="5"/>
  <c r="G26" i="5" s="1"/>
  <c r="D9" i="5"/>
  <c r="D43" i="5" s="1"/>
  <c r="D8" i="5"/>
  <c r="D7" i="5"/>
  <c r="G55" i="5"/>
  <c r="F55" i="5"/>
  <c r="E55" i="5"/>
  <c r="D55" i="5"/>
  <c r="G48" i="5"/>
  <c r="F48" i="5"/>
  <c r="E48" i="5"/>
  <c r="D48" i="5"/>
  <c r="O30" i="5"/>
  <c r="N30" i="5"/>
  <c r="M30" i="5"/>
  <c r="L30" i="5"/>
  <c r="L2" i="5"/>
  <c r="H26" i="2"/>
  <c r="K24" i="2"/>
  <c r="P16" i="2" s="1"/>
  <c r="G26" i="2"/>
  <c r="F26" i="2"/>
  <c r="E26" i="2"/>
  <c r="D26" i="2"/>
  <c r="P16" i="5" l="1"/>
  <c r="N16" i="5"/>
  <c r="F49" i="5" s="1"/>
  <c r="F50" i="5" s="1"/>
  <c r="M16" i="5"/>
  <c r="E49" i="5" s="1"/>
  <c r="E50" i="5" s="1"/>
  <c r="H26" i="5"/>
  <c r="F26" i="5"/>
  <c r="D26" i="5"/>
  <c r="E26" i="5"/>
  <c r="D12" i="5"/>
  <c r="D24" i="5" s="1"/>
  <c r="L16" i="5"/>
  <c r="O16" i="5"/>
  <c r="R8" i="1"/>
  <c r="S8" i="1"/>
  <c r="T8" i="1"/>
  <c r="S9" i="4"/>
  <c r="S8" i="4" a="1"/>
  <c r="S8" i="4" s="1"/>
  <c r="S14" i="4" s="1"/>
  <c r="S15" i="4" s="1"/>
  <c r="D16" i="4"/>
  <c r="D15" i="4"/>
  <c r="D14" i="4"/>
  <c r="D10" i="4"/>
  <c r="D9" i="4"/>
  <c r="D8" i="4"/>
  <c r="D7" i="4"/>
  <c r="U25" i="1" a="1"/>
  <c r="U25" i="1" s="1"/>
  <c r="G28" i="1"/>
  <c r="F28" i="1"/>
  <c r="E28" i="1"/>
  <c r="D28" i="1"/>
  <c r="F20" i="5" l="1"/>
  <c r="E18" i="5"/>
  <c r="L14" i="5"/>
  <c r="N14" i="5"/>
  <c r="N19" i="5" s="1"/>
  <c r="G18" i="5"/>
  <c r="G20" i="5"/>
  <c r="D18" i="5"/>
  <c r="E24" i="5"/>
  <c r="O14" i="5"/>
  <c r="O19" i="5" s="1"/>
  <c r="F18" i="5"/>
  <c r="H20" i="5"/>
  <c r="M14" i="5"/>
  <c r="M19" i="5" s="1"/>
  <c r="P14" i="5"/>
  <c r="P19" i="5" s="1"/>
  <c r="E20" i="5"/>
  <c r="D20" i="5"/>
  <c r="D49" i="5"/>
  <c r="G49" i="5"/>
  <c r="G50" i="5" s="1"/>
  <c r="G29" i="4"/>
  <c r="F29" i="4"/>
  <c r="E29" i="4"/>
  <c r="D29" i="4"/>
  <c r="E52" i="5" l="1"/>
  <c r="H53" i="5"/>
  <c r="P23" i="5" s="1"/>
  <c r="D60" i="5"/>
  <c r="L3" i="5" s="1"/>
  <c r="G53" i="5"/>
  <c r="O23" i="5" s="1"/>
  <c r="O41" i="5" s="1"/>
  <c r="D53" i="5"/>
  <c r="L23" i="5" s="1"/>
  <c r="L41" i="5" s="1"/>
  <c r="L40" i="5" s="1"/>
  <c r="M39" i="5" s="1" a="1"/>
  <c r="M39" i="5" s="1"/>
  <c r="F53" i="5"/>
  <c r="N23" i="5" s="1"/>
  <c r="N41" i="5" s="1"/>
  <c r="N40" i="5" s="1"/>
  <c r="L19" i="5"/>
  <c r="D52" i="5"/>
  <c r="E53" i="5"/>
  <c r="M23" i="5" s="1"/>
  <c r="M41" i="5" s="1"/>
  <c r="L43" i="5" l="1"/>
  <c r="L39" i="5" s="1" a="1"/>
  <c r="L39" i="5" s="1"/>
  <c r="L44" i="5" s="1"/>
  <c r="D39" i="5" s="1"/>
  <c r="D50" i="5"/>
  <c r="O43" i="5"/>
  <c r="O40" i="5"/>
  <c r="N43" i="5"/>
  <c r="M43" i="5"/>
  <c r="M40" i="5"/>
  <c r="J27" i="4" l="1"/>
  <c r="M18" i="4" s="1"/>
  <c r="D60" i="4"/>
  <c r="D58" i="4"/>
  <c r="D64" i="4" s="1"/>
  <c r="D57" i="4"/>
  <c r="G50" i="4"/>
  <c r="F50" i="4"/>
  <c r="E50" i="4"/>
  <c r="D50" i="4"/>
  <c r="N46" i="4"/>
  <c r="M46" i="4"/>
  <c r="L46" i="4"/>
  <c r="K46" i="4"/>
  <c r="G43" i="4"/>
  <c r="F43" i="4"/>
  <c r="E43" i="4"/>
  <c r="D43" i="4"/>
  <c r="D40" i="4"/>
  <c r="D39" i="4"/>
  <c r="D37" i="4" s="1"/>
  <c r="N33" i="4"/>
  <c r="M33" i="4"/>
  <c r="L33" i="4"/>
  <c r="K33" i="4"/>
  <c r="D12" i="4"/>
  <c r="D47" i="1"/>
  <c r="E47" i="1"/>
  <c r="F47" i="1"/>
  <c r="G47" i="1"/>
  <c r="D64" i="1"/>
  <c r="D62" i="1"/>
  <c r="D68" i="1" s="1"/>
  <c r="D61" i="1"/>
  <c r="G23" i="4" l="1"/>
  <c r="D23" i="4"/>
  <c r="F23" i="4"/>
  <c r="E23" i="4"/>
  <c r="K18" i="4"/>
  <c r="N18" i="4"/>
  <c r="M16" i="4"/>
  <c r="F20" i="4"/>
  <c r="N16" i="4"/>
  <c r="G20" i="4"/>
  <c r="D20" i="4"/>
  <c r="E20" i="4"/>
  <c r="K16" i="4"/>
  <c r="D27" i="4"/>
  <c r="L16" i="4"/>
  <c r="E27" i="4"/>
  <c r="L18" i="4"/>
  <c r="D44" i="1"/>
  <c r="D43" i="1"/>
  <c r="D41" i="1" s="1"/>
  <c r="N48" i="1"/>
  <c r="M48" i="1"/>
  <c r="L48" i="1"/>
  <c r="K48" i="1"/>
  <c r="D43" i="2"/>
  <c r="L2" i="2"/>
  <c r="D48" i="2"/>
  <c r="G48" i="2"/>
  <c r="F48" i="2"/>
  <c r="E48" i="2"/>
  <c r="F48" i="4" l="1"/>
  <c r="M26" i="4" s="1"/>
  <c r="M21" i="4"/>
  <c r="G48" i="4"/>
  <c r="N26" i="4" s="1"/>
  <c r="N21" i="4"/>
  <c r="L21" i="4"/>
  <c r="E48" i="4"/>
  <c r="L26" i="4" s="1"/>
  <c r="E47" i="4"/>
  <c r="K21" i="4"/>
  <c r="D48" i="4"/>
  <c r="K26" i="4" s="1"/>
  <c r="D47" i="4"/>
  <c r="N16" i="2"/>
  <c r="D12" i="2"/>
  <c r="N17" i="1"/>
  <c r="F25" i="2" l="1"/>
  <c r="F27" i="2" s="1"/>
  <c r="E25" i="2"/>
  <c r="E27" i="2" s="1"/>
  <c r="H25" i="2"/>
  <c r="H27" i="2" s="1"/>
  <c r="D25" i="2"/>
  <c r="D27" i="2" s="1"/>
  <c r="P14" i="2"/>
  <c r="O14" i="2"/>
  <c r="U26" i="2" s="1"/>
  <c r="U7" i="2" s="1"/>
  <c r="U12" i="2" s="1"/>
  <c r="N14" i="2"/>
  <c r="T26" i="2" s="1"/>
  <c r="T7" i="2" s="1"/>
  <c r="T12" i="2" s="1"/>
  <c r="M14" i="2"/>
  <c r="S26" i="2" s="1"/>
  <c r="S7" i="2" s="1"/>
  <c r="S12" i="2" s="1"/>
  <c r="L14" i="2"/>
  <c r="F49" i="2"/>
  <c r="F50" i="2" s="1"/>
  <c r="E55" i="2"/>
  <c r="O16" i="2"/>
  <c r="L16" i="2"/>
  <c r="D49" i="2" s="1"/>
  <c r="M16" i="2"/>
  <c r="E49" i="2" s="1"/>
  <c r="D18" i="2"/>
  <c r="E18" i="2"/>
  <c r="F18" i="2"/>
  <c r="G25" i="2"/>
  <c r="G27" i="2" s="1"/>
  <c r="G18" i="2"/>
  <c r="D24" i="2"/>
  <c r="E24" i="2"/>
  <c r="M17" i="1"/>
  <c r="D12" i="1"/>
  <c r="R26" i="2" l="1"/>
  <c r="R7" i="2" s="1"/>
  <c r="R12" i="2" s="1"/>
  <c r="R13" i="2" s="1"/>
  <c r="R14" i="2" s="1"/>
  <c r="D19" i="5" s="1"/>
  <c r="D44" i="5" s="1"/>
  <c r="T13" i="2"/>
  <c r="T14" i="2" s="1"/>
  <c r="F19" i="5" s="1"/>
  <c r="F25" i="5"/>
  <c r="F27" i="5" s="1"/>
  <c r="U13" i="2"/>
  <c r="U14" i="2" s="1"/>
  <c r="G19" i="5" s="1"/>
  <c r="G25" i="5"/>
  <c r="G27" i="5" s="1"/>
  <c r="S13" i="2"/>
  <c r="S14" i="2" s="1"/>
  <c r="E19" i="5" s="1"/>
  <c r="E25" i="5"/>
  <c r="E27" i="5" s="1"/>
  <c r="P19" i="2"/>
  <c r="H53" i="2"/>
  <c r="P23" i="2" s="1"/>
  <c r="H19" i="2" s="1"/>
  <c r="H20" i="2" s="1"/>
  <c r="V26" i="2"/>
  <c r="V7" i="2" s="1"/>
  <c r="V12" i="2" s="1"/>
  <c r="U22" i="1"/>
  <c r="K15" i="1"/>
  <c r="N15" i="1"/>
  <c r="U28" i="1" s="1"/>
  <c r="U9" i="1" s="1"/>
  <c r="M15" i="1"/>
  <c r="T28" i="1" s="1"/>
  <c r="T9" i="1" s="1"/>
  <c r="T14" i="1" s="1"/>
  <c r="L15" i="1"/>
  <c r="D60" i="2"/>
  <c r="L3" i="2" s="1"/>
  <c r="E50" i="2"/>
  <c r="G49" i="2"/>
  <c r="G50" i="2" s="1"/>
  <c r="G55" i="2"/>
  <c r="F55" i="2"/>
  <c r="O30" i="2"/>
  <c r="L30" i="2"/>
  <c r="M30" i="2"/>
  <c r="N30" i="2"/>
  <c r="D55" i="2"/>
  <c r="D53" i="2"/>
  <c r="L23" i="2" s="1"/>
  <c r="L41" i="2" s="1"/>
  <c r="L43" i="2" s="1"/>
  <c r="L19" i="2"/>
  <c r="D52" i="2"/>
  <c r="F53" i="2"/>
  <c r="N23" i="2" s="1"/>
  <c r="N41" i="2" s="1"/>
  <c r="N40" i="2" s="1"/>
  <c r="N19" i="2"/>
  <c r="E53" i="2"/>
  <c r="M23" i="2" s="1"/>
  <c r="M41" i="2" s="1"/>
  <c r="M40" i="2" s="1"/>
  <c r="M19" i="2"/>
  <c r="E52" i="2"/>
  <c r="G53" i="2"/>
  <c r="O23" i="2" s="1"/>
  <c r="O41" i="2" s="1"/>
  <c r="O40" i="2" s="1"/>
  <c r="O19" i="2"/>
  <c r="G27" i="1"/>
  <c r="G29" i="1" s="1"/>
  <c r="F27" i="1"/>
  <c r="F29" i="1" s="1"/>
  <c r="F19" i="1"/>
  <c r="G19" i="1"/>
  <c r="E26" i="1"/>
  <c r="D19" i="1"/>
  <c r="D26" i="1"/>
  <c r="E19" i="1"/>
  <c r="E27" i="1"/>
  <c r="E29" i="1" s="1"/>
  <c r="D27" i="1"/>
  <c r="D29" i="1" s="1"/>
  <c r="D25" i="5" l="1"/>
  <c r="D27" i="5" s="1"/>
  <c r="V13" i="2"/>
  <c r="V14" i="2" s="1"/>
  <c r="H19" i="5" s="1"/>
  <c r="H25" i="5"/>
  <c r="H27" i="5" s="1"/>
  <c r="F28" i="4"/>
  <c r="F30" i="4" s="1"/>
  <c r="T15" i="1"/>
  <c r="T16" i="1" s="1"/>
  <c r="F22" i="4" s="1"/>
  <c r="L20" i="1"/>
  <c r="E54" i="1"/>
  <c r="L32" i="1" s="1"/>
  <c r="D54" i="1"/>
  <c r="K32" i="1" s="1"/>
  <c r="G54" i="1"/>
  <c r="N32" i="1" s="1"/>
  <c r="F54" i="1"/>
  <c r="M32" i="1" s="1"/>
  <c r="D50" i="2"/>
  <c r="L40" i="2"/>
  <c r="M39" i="2" s="1" a="1"/>
  <c r="M39" i="2" s="1"/>
  <c r="O43" i="2"/>
  <c r="M43" i="2"/>
  <c r="N43" i="2"/>
  <c r="G19" i="2"/>
  <c r="G20" i="2" s="1"/>
  <c r="D19" i="2"/>
  <c r="E19" i="2"/>
  <c r="E20" i="2" s="1"/>
  <c r="F19" i="2"/>
  <c r="F20" i="2" s="1"/>
  <c r="G52" i="1"/>
  <c r="N25" i="1" s="1"/>
  <c r="N20" i="1"/>
  <c r="F52" i="1"/>
  <c r="M25" i="1" s="1"/>
  <c r="M20" i="1"/>
  <c r="K17" i="1"/>
  <c r="R28" i="1" s="1"/>
  <c r="R9" i="1" s="1"/>
  <c r="L17" i="1"/>
  <c r="S28" i="1" s="1"/>
  <c r="S9" i="1" s="1"/>
  <c r="E51" i="1"/>
  <c r="E52" i="1"/>
  <c r="L25" i="1" s="1"/>
  <c r="D52" i="1"/>
  <c r="K25" i="1" s="1"/>
  <c r="D51" i="1"/>
  <c r="K20" i="1"/>
  <c r="M48" i="4" l="1"/>
  <c r="F21" i="4"/>
  <c r="S14" i="1"/>
  <c r="R14" i="1"/>
  <c r="U14" i="1"/>
  <c r="D20" i="2"/>
  <c r="D44" i="2"/>
  <c r="L39" i="2" a="1"/>
  <c r="L39" i="2" s="1"/>
  <c r="F21" i="1"/>
  <c r="F22" i="1" s="1"/>
  <c r="G21" i="1"/>
  <c r="G22" i="1" s="1"/>
  <c r="D21" i="1"/>
  <c r="K52" i="1" s="1"/>
  <c r="E21" i="1"/>
  <c r="E22" i="1" s="1"/>
  <c r="U15" i="1" l="1"/>
  <c r="U16" i="1" s="1"/>
  <c r="G22" i="4" s="1"/>
  <c r="N48" i="4" s="1"/>
  <c r="G28" i="4"/>
  <c r="G30" i="4" s="1"/>
  <c r="R15" i="1"/>
  <c r="R16" i="1" s="1"/>
  <c r="D22" i="4" s="1"/>
  <c r="D28" i="4"/>
  <c r="D30" i="4" s="1"/>
  <c r="S15" i="1"/>
  <c r="S16" i="1" s="1"/>
  <c r="E22" i="4" s="1"/>
  <c r="E28" i="4"/>
  <c r="E30" i="4" s="1"/>
  <c r="D22" i="1"/>
  <c r="D20" i="1"/>
  <c r="K50" i="1"/>
  <c r="G20" i="1"/>
  <c r="N50" i="1"/>
  <c r="E20" i="1"/>
  <c r="L50" i="1"/>
  <c r="D42" i="1" s="1" a="1"/>
  <c r="D42" i="1" s="1"/>
  <c r="D67" i="1" s="1"/>
  <c r="D69" i="1" s="1"/>
  <c r="D73" i="1" s="1" a="1"/>
  <c r="D73" i="1" s="1"/>
  <c r="F20" i="1"/>
  <c r="M50" i="1"/>
  <c r="L44" i="2"/>
  <c r="D39" i="2" s="1"/>
  <c r="G21" i="4" l="1"/>
  <c r="L48" i="4"/>
  <c r="D38" i="4" s="1" a="1"/>
  <c r="D38" i="4" s="1"/>
  <c r="D63" i="4" s="1"/>
  <c r="D65" i="4" s="1"/>
  <c r="D69" i="4" s="1" a="1"/>
  <c r="D69" i="4" s="1"/>
  <c r="E21" i="4"/>
  <c r="K50" i="4"/>
  <c r="K48" i="4"/>
  <c r="D2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<sst xmlns="http://schemas.openxmlformats.org/spreadsheetml/2006/main" count="375" uniqueCount="127">
  <si>
    <t>Low Cost Financing Tool</t>
  </si>
  <si>
    <t>Step 1: Fill in project info</t>
  </si>
  <si>
    <t>If you'd like an alternative solution to providing contractor contributions we can finance the</t>
  </si>
  <si>
    <t>Project Name</t>
  </si>
  <si>
    <t>ABC Company</t>
  </si>
  <si>
    <t>APPLY NOW</t>
  </si>
  <si>
    <t>full project with blended interest rates.</t>
  </si>
  <si>
    <t>Total Project Cost</t>
  </si>
  <si>
    <t>Please contact Chris Herman for with questions or to request a revised quote:</t>
  </si>
  <si>
    <t>Yield</t>
  </si>
  <si>
    <t>National Grid Incentive</t>
  </si>
  <si>
    <t>cherman@verdantcc.com</t>
  </si>
  <si>
    <t>Phone: 248.418.1327</t>
  </si>
  <si>
    <t>Present Value</t>
  </si>
  <si>
    <t>Annual Project Energy Savings</t>
  </si>
  <si>
    <t>No of Periods</t>
  </si>
  <si>
    <t>Amount Financed</t>
  </si>
  <si>
    <t>Future Value</t>
  </si>
  <si>
    <r>
      <t xml:space="preserve">Annual Therms saved </t>
    </r>
    <r>
      <rPr>
        <sz val="8"/>
        <color rgb="FF000000"/>
        <rFont val="Calibri"/>
        <family val="2"/>
      </rPr>
      <t>(C&amp;I Gas Only)</t>
    </r>
  </si>
  <si>
    <t>Required Subsidy for 0% 24 months</t>
  </si>
  <si>
    <t>Required Subsidy for 0% 36 months</t>
  </si>
  <si>
    <t>1.99% @48</t>
  </si>
  <si>
    <t>1.99% @ 60</t>
  </si>
  <si>
    <t>Solve for Payment</t>
  </si>
  <si>
    <r>
      <t xml:space="preserve">Annual kWh saved </t>
    </r>
    <r>
      <rPr>
        <sz val="8"/>
        <color theme="1"/>
        <rFont val="Calibri"/>
        <family val="2"/>
        <scheme val="minor"/>
      </rPr>
      <t>(C&amp;I Electric Only)</t>
    </r>
  </si>
  <si>
    <t>Utility Incentive</t>
  </si>
  <si>
    <t>Solve for Monthly Rate</t>
  </si>
  <si>
    <r>
      <t xml:space="preserve">Annual MMBtu saved </t>
    </r>
    <r>
      <rPr>
        <sz val="8"/>
        <color theme="1"/>
        <rFont val="Calibri"/>
        <family val="2"/>
        <scheme val="minor"/>
      </rPr>
      <t>(Clean Heat Only)</t>
    </r>
  </si>
  <si>
    <t>Max NGRID Subsidy for 0% 24 months</t>
  </si>
  <si>
    <t>Max NGRID Subsidy for 0% 36 months</t>
  </si>
  <si>
    <t>1.99% @ 48</t>
  </si>
  <si>
    <t>Blended APR</t>
  </si>
  <si>
    <t>Step 2: Review Eligibility</t>
  </si>
  <si>
    <t>24 @ 0%</t>
  </si>
  <si>
    <t>36 @ 0%</t>
  </si>
  <si>
    <t>48 @ 1.99%</t>
  </si>
  <si>
    <t>60 @ 1.99%</t>
  </si>
  <si>
    <t>Annual kWh savings</t>
  </si>
  <si>
    <t>Step #4: Subsidy cap = less than $0.05 Cost/kWh Savings?</t>
  </si>
  <si>
    <t>Financed amount under $250,001?</t>
  </si>
  <si>
    <t>Additional Cost/kWh Savings 24</t>
  </si>
  <si>
    <t>Additional Cost/kWh Savings 36</t>
  </si>
  <si>
    <t>Is any contractor contribution required?</t>
  </si>
  <si>
    <t>Contractor Contribution</t>
  </si>
  <si>
    <t>If yes, move to step #5</t>
  </si>
  <si>
    <t>Funding Amount</t>
  </si>
  <si>
    <t>If no, see Contractor Contribution amounts needed to offer 0%, then move to step #5</t>
  </si>
  <si>
    <t>Step 3: Propose Payment Options</t>
  </si>
  <si>
    <t>Contractor Contribution 24</t>
  </si>
  <si>
    <t>Contractor Contribution 36</t>
  </si>
  <si>
    <t>CC 48</t>
  </si>
  <si>
    <t>CC 60</t>
  </si>
  <si>
    <t>Payment Proposal Tools</t>
  </si>
  <si>
    <t xml:space="preserve">48 @ 1.99% </t>
  </si>
  <si>
    <t>Max NGrid Subsidy</t>
  </si>
  <si>
    <t>Blended Interest Rate</t>
  </si>
  <si>
    <t>Step #5: Amount Financed less than $250,000.01?</t>
  </si>
  <si>
    <t>Monthly Payments:</t>
  </si>
  <si>
    <t>If yes, see Contractor Contribution below to buy down to 0%</t>
  </si>
  <si>
    <t>Energy Savings:</t>
  </si>
  <si>
    <t>MIN</t>
  </si>
  <si>
    <t>Cash Flow Positive</t>
  </si>
  <si>
    <t>Step 4: Complete Credit Application</t>
  </si>
  <si>
    <t>Please contact Chris Herman for with questions:</t>
  </si>
  <si>
    <t>*Project must qualify for National Grid incentives through the program(s) providing the interest rate buy down.</t>
  </si>
  <si>
    <t>***Blended rates available to maximize the available interest rate buydown to receive low interest, below market rates. See next tab for blended rate options.</t>
  </si>
  <si>
    <r>
      <t xml:space="preserve">If you </t>
    </r>
    <r>
      <rPr>
        <u/>
        <sz val="11"/>
        <rFont val="Calibri"/>
        <family val="2"/>
        <scheme val="minor"/>
      </rPr>
      <t>don't</t>
    </r>
    <r>
      <rPr>
        <sz val="11"/>
        <rFont val="Calibri"/>
        <family val="2"/>
        <scheme val="minor"/>
      </rPr>
      <t xml:space="preserve"> want to provide contractor contribution we can finance full project with blended rates </t>
    </r>
  </si>
  <si>
    <t>Back into Proposed Amount</t>
  </si>
  <si>
    <t xml:space="preserve">Desired Funding Amount </t>
  </si>
  <si>
    <t>Term</t>
  </si>
  <si>
    <t>*Input This Total Project Cost above</t>
  </si>
  <si>
    <t>Total Project Funding (including incentive)</t>
  </si>
  <si>
    <t>Desired Funding Amount</t>
  </si>
  <si>
    <t>Subsidy Factor</t>
  </si>
  <si>
    <t>New Proposal Amount</t>
  </si>
  <si>
    <t>Step 1:</t>
  </si>
  <si>
    <t>Enter Desired Project Funding Amount</t>
  </si>
  <si>
    <t>Desired Term</t>
  </si>
  <si>
    <t>Annual kWh Saved</t>
  </si>
  <si>
    <t>Annual Energy Savings in $'s</t>
  </si>
  <si>
    <t>Propose this Total Project Cost to Customer:</t>
  </si>
  <si>
    <t>Verdant funds you this amount:</t>
  </si>
  <si>
    <t>Monthly Payments</t>
  </si>
  <si>
    <t>Monthly Savings</t>
  </si>
  <si>
    <t>Cash Flow Positive Amount</t>
  </si>
  <si>
    <t>Blended Rate Calculator</t>
  </si>
  <si>
    <t>Annual Project Savings</t>
  </si>
  <si>
    <t>Annual Therms saved</t>
  </si>
  <si>
    <t>Annual kWh saved</t>
  </si>
  <si>
    <t>Solve for Rate</t>
  </si>
  <si>
    <t>Annual MMBtu saved</t>
  </si>
  <si>
    <t>Step 2: Review Blended Rates Available</t>
  </si>
  <si>
    <t>24 months</t>
  </si>
  <si>
    <t>36 months</t>
  </si>
  <si>
    <t>48 months</t>
  </si>
  <si>
    <t>60 months</t>
  </si>
  <si>
    <t>Blended Rate</t>
  </si>
  <si>
    <t>National Grid UNY Small Business Program</t>
  </si>
  <si>
    <t>Required Subsidy for 0% 12 months</t>
  </si>
  <si>
    <t>48 @ 1.99</t>
  </si>
  <si>
    <t>60 @ 1.99</t>
  </si>
  <si>
    <t>Max NGRID Subsidy for 0% 12 months</t>
  </si>
  <si>
    <t>48  @ 1.99</t>
  </si>
  <si>
    <t>12 @ 0%</t>
  </si>
  <si>
    <t>Step #4: Subsidy cap = less than $0.05 Cost/therm Savings?</t>
  </si>
  <si>
    <t xml:space="preserve">36 @ 0% </t>
  </si>
  <si>
    <t>Energy Savings</t>
  </si>
  <si>
    <t>Step 4:  Credit Application</t>
  </si>
  <si>
    <t>*Subsidy needed can't exceed the incentive amount | Max subsidy per project: Small Business - $200,000</t>
  </si>
  <si>
    <t>*Blended rates available to maximize the available interest rate buydown to receive low interest, below market rates. See next tab for blended rate options.</t>
  </si>
  <si>
    <t>Back into the Proposed Amount</t>
  </si>
  <si>
    <t>Desired Funding Amount less incentive</t>
  </si>
  <si>
    <t>*Input Total Project Cost of:</t>
  </si>
  <si>
    <t>Required Discount</t>
  </si>
  <si>
    <t>Max National Grid Subsidy</t>
  </si>
  <si>
    <t>*Input National Grid Incentive</t>
  </si>
  <si>
    <t>Total Funding</t>
  </si>
  <si>
    <t>Desired Funding Amount less incentive/SF</t>
  </si>
  <si>
    <t>D39-D40-J42</t>
  </si>
  <si>
    <t>Subsidy Factor (SF)</t>
  </si>
  <si>
    <t>subsidy amount of required - max subsidy</t>
  </si>
  <si>
    <t>12 months</t>
  </si>
  <si>
    <t xml:space="preserve">36 months </t>
  </si>
  <si>
    <t>**Subsidy needed can't exceed the incentive amount | Max subsidy per project: Small Business - $200,000</t>
  </si>
  <si>
    <t>**Subsidy needed can't exceed the incentive amount | Max subsidy: C&amp;I Gas = $75,0000</t>
  </si>
  <si>
    <t>**Subsidy needed can't exceed the incentive amount | Max subsidy: C&amp;I Gas = $75,000</t>
  </si>
  <si>
    <t xml:space="preserve">National Grid MA C&amp;I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</si>
</sst>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&quot;$&quot;#,##0.00"/>
    <numFmt numFmtId="166" formatCode="&quot;$&quot;#,##0.00000_);[Red]\(&quot;$&quot;#,##0.00000\)"/>
    <numFmt numFmtId="167" formatCode="&quot;$&quot;#,##0.00000"/>
    <numFmt numFmtId="168" formatCode="#,##0.0000"/>
    <numFmt numFmtId="169" formatCode="#,##0.00000"/>
    <numFmt numFmtId="170" formatCode="0.0000"/>
    <numFmt numFmtId="171" formatCode="0.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0000"/>
      <name val="Arial Black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Black"/>
      <family val="2"/>
    </font>
    <font>
      <u/>
      <sz val="14"/>
      <color rgb="FF000000"/>
      <name val="Arial Black"/>
      <family val="2"/>
    </font>
    <font>
      <u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rgb="FF000000"/>
      <name val="Calibri"/>
      <family val="2"/>
      <scheme val="minor"/>
    </font>
    <font>
      <u/>
      <sz val="14"/>
      <color theme="1"/>
      <name val="Arial Black"/>
      <family val="2"/>
    </font>
    <font>
      <sz val="14"/>
      <color rgb="FF000000"/>
      <name val="Arial Black"/>
      <family val="2"/>
    </font>
    <font>
      <b/>
      <sz val="10"/>
      <color rgb="FF000000"/>
      <name val="Arial Black"/>
      <family val="2"/>
    </font>
    <font>
      <b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name val="Arial Black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4"/>
      <name val="Calibri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</cellStyleXfs>
  <cellXfs count="348">
    <xf numFmtId="0" fontId="0" fillId="0" borderId="0" xfId="0"/>
    <xf numFmtId="44" fontId="0" fillId="0" borderId="0" xfId="1" applyFont="1"/>
    <xf numFmtId="8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164" fontId="2" fillId="0" borderId="0" xfId="0" applyNumberFormat="1" applyFont="1"/>
    <xf numFmtId="44" fontId="0" fillId="0" borderId="0" xfId="1" applyFont="1" applyBorder="1"/>
    <xf numFmtId="0" fontId="0" fillId="0" borderId="9" xfId="0" applyBorder="1"/>
    <xf numFmtId="0" fontId="0" fillId="0" borderId="3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8" fontId="3" fillId="2" borderId="14" xfId="0" applyNumberFormat="1" applyFont="1" applyFill="1" applyBorder="1" applyAlignment="1">
      <alignment horizontal="right" vertical="center"/>
    </xf>
    <xf numFmtId="8" fontId="3" fillId="2" borderId="8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0" fontId="0" fillId="0" borderId="15" xfId="0" applyBorder="1"/>
    <xf numFmtId="0" fontId="0" fillId="0" borderId="14" xfId="0" applyBorder="1"/>
    <xf numFmtId="3" fontId="3" fillId="2" borderId="9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8" fontId="3" fillId="2" borderId="5" xfId="0" applyNumberFormat="1" applyFont="1" applyFill="1" applyBorder="1" applyAlignment="1">
      <alignment horizontal="right" vertical="center"/>
    </xf>
    <xf numFmtId="0" fontId="11" fillId="0" borderId="5" xfId="0" applyFont="1" applyBorder="1"/>
    <xf numFmtId="3" fontId="3" fillId="2" borderId="5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8" fontId="4" fillId="0" borderId="5" xfId="0" applyNumberFormat="1" applyFont="1" applyBorder="1"/>
    <xf numFmtId="3" fontId="3" fillId="2" borderId="11" xfId="0" applyNumberFormat="1" applyFont="1" applyFill="1" applyBorder="1" applyAlignment="1">
      <alignment horizontal="right" vertical="center"/>
    </xf>
    <xf numFmtId="164" fontId="2" fillId="0" borderId="7" xfId="0" applyNumberFormat="1" applyFont="1" applyBorder="1"/>
    <xf numFmtId="8" fontId="4" fillId="0" borderId="11" xfId="0" applyNumberFormat="1" applyFont="1" applyBorder="1"/>
    <xf numFmtId="0" fontId="5" fillId="2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164" fontId="6" fillId="0" borderId="14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left"/>
    </xf>
    <xf numFmtId="8" fontId="0" fillId="0" borderId="5" xfId="1" applyNumberFormat="1" applyFont="1" applyBorder="1" applyAlignment="1">
      <alignment horizontal="center"/>
    </xf>
    <xf numFmtId="8" fontId="0" fillId="0" borderId="5" xfId="0" applyNumberFormat="1" applyBorder="1"/>
    <xf numFmtId="3" fontId="3" fillId="2" borderId="7" xfId="0" applyNumberFormat="1" applyFont="1" applyFill="1" applyBorder="1" applyAlignment="1">
      <alignment horizontal="right" vertical="center"/>
    </xf>
    <xf numFmtId="8" fontId="13" fillId="2" borderId="1" xfId="0" applyNumberFormat="1" applyFont="1" applyFill="1" applyBorder="1" applyAlignment="1">
      <alignment horizontal="center" vertical="center"/>
    </xf>
    <xf numFmtId="0" fontId="12" fillId="0" borderId="11" xfId="0" applyFont="1" applyBorder="1"/>
    <xf numFmtId="0" fontId="5" fillId="3" borderId="1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4" fillId="0" borderId="5" xfId="0" applyFont="1" applyBorder="1"/>
    <xf numFmtId="164" fontId="6" fillId="2" borderId="17" xfId="0" applyNumberFormat="1" applyFont="1" applyFill="1" applyBorder="1"/>
    <xf numFmtId="0" fontId="0" fillId="0" borderId="11" xfId="0" applyBorder="1"/>
    <xf numFmtId="0" fontId="0" fillId="0" borderId="18" xfId="0" applyBorder="1"/>
    <xf numFmtId="8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19" fillId="2" borderId="0" xfId="0" applyFont="1" applyFill="1"/>
    <xf numFmtId="0" fontId="20" fillId="2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21" fillId="2" borderId="1" xfId="0" applyFont="1" applyFill="1" applyBorder="1" applyAlignment="1">
      <alignment vertical="center"/>
    </xf>
    <xf numFmtId="8" fontId="9" fillId="2" borderId="4" xfId="0" applyNumberFormat="1" applyFont="1" applyFill="1" applyBorder="1" applyAlignment="1">
      <alignment vertical="center"/>
    </xf>
    <xf numFmtId="0" fontId="11" fillId="0" borderId="12" xfId="0" applyFont="1" applyBorder="1"/>
    <xf numFmtId="0" fontId="0" fillId="0" borderId="6" xfId="0" applyBorder="1"/>
    <xf numFmtId="0" fontId="0" fillId="0" borderId="15" xfId="0" applyBorder="1" applyAlignment="1">
      <alignment horizontal="left"/>
    </xf>
    <xf numFmtId="0" fontId="0" fillId="0" borderId="21" xfId="0" applyBorder="1"/>
    <xf numFmtId="0" fontId="0" fillId="2" borderId="4" xfId="0" applyFill="1" applyBorder="1"/>
    <xf numFmtId="0" fontId="0" fillId="2" borderId="5" xfId="0" applyFill="1" applyBorder="1"/>
    <xf numFmtId="0" fontId="0" fillId="2" borderId="11" xfId="0" applyFill="1" applyBorder="1"/>
    <xf numFmtId="0" fontId="19" fillId="0" borderId="20" xfId="0" applyFont="1" applyBorder="1"/>
    <xf numFmtId="8" fontId="22" fillId="2" borderId="22" xfId="0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11" fillId="2" borderId="1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19" fillId="2" borderId="1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1" fillId="2" borderId="20" xfId="0" applyFont="1" applyFill="1" applyBorder="1" applyAlignment="1">
      <alignment vertical="center"/>
    </xf>
    <xf numFmtId="0" fontId="23" fillId="2" borderId="0" xfId="0" applyFont="1" applyFill="1"/>
    <xf numFmtId="0" fontId="26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8" fontId="5" fillId="7" borderId="0" xfId="0" applyNumberFormat="1" applyFont="1" applyFill="1" applyAlignment="1">
      <alignment horizontal="center" vertical="center"/>
    </xf>
    <xf numFmtId="8" fontId="3" fillId="4" borderId="11" xfId="0" applyNumberFormat="1" applyFont="1" applyFill="1" applyBorder="1" applyAlignment="1">
      <alignment horizontal="right" vertical="center"/>
    </xf>
    <xf numFmtId="0" fontId="0" fillId="4" borderId="0" xfId="0" applyFill="1"/>
    <xf numFmtId="0" fontId="1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8" fontId="4" fillId="2" borderId="6" xfId="0" applyNumberFormat="1" applyFont="1" applyFill="1" applyBorder="1"/>
    <xf numFmtId="164" fontId="2" fillId="2" borderId="7" xfId="0" applyNumberFormat="1" applyFont="1" applyFill="1" applyBorder="1"/>
    <xf numFmtId="44" fontId="0" fillId="2" borderId="0" xfId="1" applyFont="1" applyFill="1"/>
    <xf numFmtId="8" fontId="4" fillId="2" borderId="8" xfId="0" applyNumberFormat="1" applyFont="1" applyFill="1" applyBorder="1"/>
    <xf numFmtId="164" fontId="2" fillId="2" borderId="9" xfId="0" applyNumberFormat="1" applyFont="1" applyFill="1" applyBorder="1"/>
    <xf numFmtId="8" fontId="4" fillId="2" borderId="10" xfId="0" applyNumberFormat="1" applyFont="1" applyFill="1" applyBorder="1"/>
    <xf numFmtId="164" fontId="2" fillId="2" borderId="4" xfId="0" applyNumberFormat="1" applyFont="1" applyFill="1" applyBorder="1"/>
    <xf numFmtId="8" fontId="4" fillId="2" borderId="0" xfId="0" applyNumberFormat="1" applyFont="1" applyFill="1"/>
    <xf numFmtId="164" fontId="2" fillId="2" borderId="0" xfId="0" applyNumberFormat="1" applyFont="1" applyFill="1"/>
    <xf numFmtId="44" fontId="0" fillId="2" borderId="0" xfId="1" applyFont="1" applyFill="1" applyBorder="1"/>
    <xf numFmtId="8" fontId="9" fillId="2" borderId="9" xfId="0" applyNumberFormat="1" applyFont="1" applyFill="1" applyBorder="1" applyAlignment="1">
      <alignment vertical="center"/>
    </xf>
    <xf numFmtId="8" fontId="3" fillId="2" borderId="9" xfId="0" applyNumberFormat="1" applyFont="1" applyFill="1" applyBorder="1" applyAlignment="1">
      <alignment horizontal="right" vertical="center"/>
    </xf>
    <xf numFmtId="0" fontId="11" fillId="0" borderId="9" xfId="0" applyFont="1" applyBorder="1"/>
    <xf numFmtId="0" fontId="19" fillId="2" borderId="0" xfId="0" applyFont="1" applyFill="1" applyAlignment="1">
      <alignment horizontal="center"/>
    </xf>
    <xf numFmtId="8" fontId="0" fillId="0" borderId="9" xfId="0" applyNumberFormat="1" applyBorder="1"/>
    <xf numFmtId="3" fontId="3" fillId="2" borderId="1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165" fontId="3" fillId="2" borderId="12" xfId="0" applyNumberFormat="1" applyFont="1" applyFill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26" fillId="2" borderId="25" xfId="0" applyFont="1" applyFill="1" applyBorder="1" applyAlignment="1">
      <alignment horizontal="left" vertical="center" wrapText="1"/>
    </xf>
    <xf numFmtId="0" fontId="26" fillId="2" borderId="2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3" fontId="3" fillId="8" borderId="1" xfId="0" applyNumberFormat="1" applyFont="1" applyFill="1" applyBorder="1" applyAlignment="1">
      <alignment horizontal="center" vertical="center"/>
    </xf>
    <xf numFmtId="8" fontId="6" fillId="8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8" fontId="6" fillId="2" borderId="1" xfId="0" applyNumberFormat="1" applyFont="1" applyFill="1" applyBorder="1" applyAlignment="1">
      <alignment horizontal="center"/>
    </xf>
    <xf numFmtId="3" fontId="28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8" fontId="6" fillId="0" borderId="20" xfId="0" applyNumberFormat="1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8" fontId="29" fillId="3" borderId="8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5" fontId="0" fillId="0" borderId="20" xfId="0" applyNumberFormat="1" applyBorder="1" applyAlignment="1">
      <alignment horizontal="center"/>
    </xf>
    <xf numFmtId="8" fontId="4" fillId="3" borderId="1" xfId="0" applyNumberFormat="1" applyFont="1" applyFill="1" applyBorder="1"/>
    <xf numFmtId="164" fontId="2" fillId="3" borderId="1" xfId="0" applyNumberFormat="1" applyFont="1" applyFill="1" applyBorder="1"/>
    <xf numFmtId="10" fontId="0" fillId="0" borderId="5" xfId="0" applyNumberFormat="1" applyBorder="1"/>
    <xf numFmtId="10" fontId="0" fillId="0" borderId="9" xfId="0" applyNumberFormat="1" applyBorder="1"/>
    <xf numFmtId="8" fontId="11" fillId="2" borderId="1" xfId="0" applyNumberFormat="1" applyFont="1" applyFill="1" applyBorder="1" applyAlignment="1">
      <alignment horizontal="center" vertical="center"/>
    </xf>
    <xf numFmtId="8" fontId="11" fillId="2" borderId="22" xfId="0" applyNumberFormat="1" applyFont="1" applyFill="1" applyBorder="1" applyAlignment="1">
      <alignment horizontal="center" vertical="center"/>
    </xf>
    <xf numFmtId="10" fontId="3" fillId="2" borderId="9" xfId="0" applyNumberFormat="1" applyFont="1" applyFill="1" applyBorder="1" applyAlignment="1">
      <alignment horizontal="right" vertical="center"/>
    </xf>
    <xf numFmtId="165" fontId="21" fillId="2" borderId="1" xfId="0" applyNumberFormat="1" applyFont="1" applyFill="1" applyBorder="1" applyAlignment="1">
      <alignment horizontal="center" vertical="center"/>
    </xf>
    <xf numFmtId="8" fontId="0" fillId="5" borderId="9" xfId="0" applyNumberFormat="1" applyFill="1" applyBorder="1"/>
    <xf numFmtId="165" fontId="3" fillId="5" borderId="9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6" xfId="0" applyFill="1" applyBorder="1"/>
    <xf numFmtId="164" fontId="6" fillId="2" borderId="0" xfId="0" applyNumberFormat="1" applyFont="1" applyFill="1" applyAlignment="1">
      <alignment horizontal="center"/>
    </xf>
    <xf numFmtId="0" fontId="17" fillId="0" borderId="3" xfId="0" applyFont="1" applyBorder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left" wrapText="1"/>
    </xf>
    <xf numFmtId="0" fontId="24" fillId="2" borderId="0" xfId="2" applyFill="1" applyBorder="1" applyAlignment="1">
      <alignment horizontal="center"/>
    </xf>
    <xf numFmtId="0" fontId="1" fillId="10" borderId="2" xfId="4" applyBorder="1" applyAlignment="1" applyProtection="1">
      <alignment horizontal="center" vertical="center"/>
      <protection locked="0"/>
    </xf>
    <xf numFmtId="8" fontId="11" fillId="10" borderId="2" xfId="4" applyNumberFormat="1" applyFont="1" applyBorder="1" applyAlignment="1" applyProtection="1">
      <alignment horizontal="center" vertical="center"/>
      <protection locked="0"/>
    </xf>
    <xf numFmtId="3" fontId="11" fillId="10" borderId="2" xfId="4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44" fontId="7" fillId="10" borderId="1" xfId="4" applyNumberFormat="1" applyFont="1" applyBorder="1" applyAlignment="1">
      <alignment horizontal="left" vertical="center" wrapText="1"/>
    </xf>
    <xf numFmtId="0" fontId="7" fillId="10" borderId="1" xfId="4" applyFont="1" applyBorder="1" applyAlignment="1">
      <alignment horizontal="center"/>
    </xf>
    <xf numFmtId="44" fontId="7" fillId="2" borderId="1" xfId="0" applyNumberFormat="1" applyFont="1" applyFill="1" applyBorder="1"/>
    <xf numFmtId="0" fontId="11" fillId="2" borderId="23" xfId="0" applyFont="1" applyFill="1" applyBorder="1" applyAlignment="1">
      <alignment vertical="center"/>
    </xf>
    <xf numFmtId="165" fontId="31" fillId="2" borderId="24" xfId="3" applyNumberFormat="1" applyFont="1" applyFill="1" applyBorder="1" applyAlignment="1">
      <alignment horizontal="center"/>
    </xf>
    <xf numFmtId="165" fontId="31" fillId="2" borderId="32" xfId="3" applyNumberFormat="1" applyFont="1" applyFill="1" applyBorder="1" applyAlignment="1">
      <alignment horizontal="center"/>
    </xf>
    <xf numFmtId="165" fontId="31" fillId="2" borderId="32" xfId="3" applyNumberFormat="1" applyFont="1" applyFill="1" applyBorder="1" applyAlignment="1">
      <alignment horizontal="center" vertical="center"/>
    </xf>
    <xf numFmtId="8" fontId="11" fillId="11" borderId="1" xfId="0" applyNumberFormat="1" applyFont="1" applyFill="1" applyBorder="1"/>
    <xf numFmtId="8" fontId="0" fillId="0" borderId="5" xfId="1" applyNumberFormat="1" applyFont="1" applyBorder="1" applyAlignment="1">
      <alignment horizontal="right"/>
    </xf>
    <xf numFmtId="8" fontId="7" fillId="2" borderId="1" xfId="0" applyNumberFormat="1" applyFont="1" applyFill="1" applyBorder="1"/>
    <xf numFmtId="44" fontId="7" fillId="2" borderId="1" xfId="1" applyFont="1" applyFill="1" applyBorder="1"/>
    <xf numFmtId="4" fontId="3" fillId="2" borderId="5" xfId="0" applyNumberFormat="1" applyFont="1" applyFill="1" applyBorder="1" applyAlignment="1">
      <alignment horizontal="right" vertical="center"/>
    </xf>
    <xf numFmtId="44" fontId="3" fillId="2" borderId="5" xfId="1" applyFont="1" applyFill="1" applyBorder="1" applyAlignment="1">
      <alignment horizontal="right" vertical="center"/>
    </xf>
    <xf numFmtId="8" fontId="21" fillId="11" borderId="2" xfId="0" applyNumberFormat="1" applyFont="1" applyFill="1" applyBorder="1" applyAlignment="1" applyProtection="1">
      <alignment horizontal="center" vertical="center"/>
      <protection locked="0"/>
    </xf>
    <xf numFmtId="44" fontId="3" fillId="2" borderId="11" xfId="1" applyFont="1" applyFill="1" applyBorder="1" applyAlignment="1">
      <alignment horizontal="right" vertical="center"/>
    </xf>
    <xf numFmtId="44" fontId="28" fillId="2" borderId="5" xfId="1" applyFont="1" applyFill="1" applyBorder="1" applyAlignment="1">
      <alignment horizontal="right" vertical="center"/>
    </xf>
    <xf numFmtId="44" fontId="28" fillId="2" borderId="11" xfId="1" applyFont="1" applyFill="1" applyBorder="1" applyAlignment="1">
      <alignment horizontal="right" vertical="center"/>
    </xf>
    <xf numFmtId="44" fontId="6" fillId="2" borderId="8" xfId="1" applyFont="1" applyFill="1" applyBorder="1"/>
    <xf numFmtId="44" fontId="32" fillId="5" borderId="1" xfId="1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right" vertical="center"/>
    </xf>
    <xf numFmtId="44" fontId="3" fillId="2" borderId="1" xfId="1" applyFont="1" applyFill="1" applyBorder="1" applyAlignment="1">
      <alignment horizontal="right" vertical="center"/>
    </xf>
    <xf numFmtId="0" fontId="17" fillId="0" borderId="0" xfId="0" applyFont="1" applyAlignment="1">
      <alignment horizontal="center"/>
    </xf>
    <xf numFmtId="8" fontId="7" fillId="2" borderId="1" xfId="1" applyNumberFormat="1" applyFont="1" applyFill="1" applyBorder="1"/>
    <xf numFmtId="44" fontId="32" fillId="5" borderId="1" xfId="1" applyFont="1" applyFill="1" applyBorder="1" applyAlignment="1">
      <alignment horizontal="right"/>
    </xf>
    <xf numFmtId="168" fontId="3" fillId="2" borderId="5" xfId="0" applyNumberFormat="1" applyFont="1" applyFill="1" applyBorder="1" applyAlignment="1">
      <alignment horizontal="right" vertical="center"/>
    </xf>
    <xf numFmtId="168" fontId="3" fillId="2" borderId="11" xfId="0" applyNumberFormat="1" applyFont="1" applyFill="1" applyBorder="1" applyAlignment="1">
      <alignment horizontal="right" vertical="center"/>
    </xf>
    <xf numFmtId="168" fontId="6" fillId="2" borderId="8" xfId="0" applyNumberFormat="1" applyFont="1" applyFill="1" applyBorder="1"/>
    <xf numFmtId="44" fontId="7" fillId="11" borderId="1" xfId="1" applyFont="1" applyFill="1" applyBorder="1"/>
    <xf numFmtId="0" fontId="7" fillId="11" borderId="1" xfId="0" applyFont="1" applyFill="1" applyBorder="1"/>
    <xf numFmtId="0" fontId="11" fillId="2" borderId="1" xfId="0" applyFont="1" applyFill="1" applyBorder="1" applyAlignment="1">
      <alignment vertical="center"/>
    </xf>
    <xf numFmtId="8" fontId="11" fillId="2" borderId="1" xfId="1" applyNumberFormat="1" applyFont="1" applyFill="1" applyBorder="1" applyAlignment="1">
      <alignment horizontal="center"/>
    </xf>
    <xf numFmtId="165" fontId="11" fillId="2" borderId="22" xfId="1" applyNumberFormat="1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8" fontId="11" fillId="11" borderId="1" xfId="1" applyNumberFormat="1" applyFont="1" applyFill="1" applyBorder="1" applyAlignment="1">
      <alignment horizontal="center"/>
    </xf>
    <xf numFmtId="165" fontId="11" fillId="11" borderId="1" xfId="1" applyNumberFormat="1" applyFont="1" applyFill="1" applyBorder="1" applyAlignment="1">
      <alignment horizontal="center"/>
    </xf>
    <xf numFmtId="165" fontId="21" fillId="11" borderId="1" xfId="0" applyNumberFormat="1" applyFont="1" applyFill="1" applyBorder="1" applyAlignment="1">
      <alignment horizontal="center" vertical="center"/>
    </xf>
    <xf numFmtId="169" fontId="3" fillId="2" borderId="5" xfId="0" applyNumberFormat="1" applyFont="1" applyFill="1" applyBorder="1" applyAlignment="1">
      <alignment horizontal="right" vertical="center"/>
    </xf>
    <xf numFmtId="169" fontId="3" fillId="2" borderId="11" xfId="0" applyNumberFormat="1" applyFont="1" applyFill="1" applyBorder="1" applyAlignment="1">
      <alignment horizontal="right" vertical="center"/>
    </xf>
    <xf numFmtId="169" fontId="6" fillId="2" borderId="8" xfId="0" applyNumberFormat="1" applyFont="1" applyFill="1" applyBorder="1"/>
    <xf numFmtId="8" fontId="3" fillId="2" borderId="11" xfId="0" applyNumberFormat="1" applyFont="1" applyFill="1" applyBorder="1" applyAlignment="1">
      <alignment horizontal="right" vertical="center"/>
    </xf>
    <xf numFmtId="0" fontId="0" fillId="0" borderId="13" xfId="0" applyBorder="1"/>
    <xf numFmtId="8" fontId="3" fillId="2" borderId="12" xfId="0" applyNumberFormat="1" applyFont="1" applyFill="1" applyBorder="1" applyAlignment="1">
      <alignment horizontal="right" vertical="center"/>
    </xf>
    <xf numFmtId="8" fontId="3" fillId="2" borderId="15" xfId="0" applyNumberFormat="1" applyFont="1" applyFill="1" applyBorder="1" applyAlignment="1">
      <alignment horizontal="right" vertical="center"/>
    </xf>
    <xf numFmtId="0" fontId="0" fillId="11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11" borderId="1" xfId="0" applyNumberFormat="1" applyFill="1" applyBorder="1"/>
    <xf numFmtId="8" fontId="0" fillId="11" borderId="1" xfId="0" applyNumberFormat="1" applyFill="1" applyBorder="1"/>
    <xf numFmtId="3" fontId="0" fillId="11" borderId="1" xfId="0" applyNumberFormat="1" applyFill="1" applyBorder="1"/>
    <xf numFmtId="164" fontId="6" fillId="0" borderId="15" xfId="0" applyNumberFormat="1" applyFont="1" applyBorder="1" applyAlignment="1">
      <alignment horizontal="left"/>
    </xf>
    <xf numFmtId="8" fontId="22" fillId="2" borderId="0" xfId="0" applyNumberFormat="1" applyFont="1" applyFill="1" applyAlignment="1">
      <alignment horizontal="center" vertical="center"/>
    </xf>
    <xf numFmtId="0" fontId="11" fillId="0" borderId="0" xfId="0" applyFont="1"/>
    <xf numFmtId="3" fontId="3" fillId="2" borderId="13" xfId="0" applyNumberFormat="1" applyFont="1" applyFill="1" applyBorder="1" applyAlignment="1">
      <alignment horizontal="right" vertical="center"/>
    </xf>
    <xf numFmtId="0" fontId="0" fillId="2" borderId="3" xfId="0" applyFill="1" applyBorder="1"/>
    <xf numFmtId="3" fontId="21" fillId="11" borderId="33" xfId="0" applyNumberFormat="1" applyFont="1" applyFill="1" applyBorder="1" applyAlignment="1" applyProtection="1">
      <alignment horizontal="center" vertical="center"/>
      <protection locked="0"/>
    </xf>
    <xf numFmtId="8" fontId="21" fillId="2" borderId="1" xfId="0" applyNumberFormat="1" applyFont="1" applyFill="1" applyBorder="1" applyAlignment="1">
      <alignment horizontal="left" vertical="center"/>
    </xf>
    <xf numFmtId="0" fontId="11" fillId="2" borderId="0" xfId="0" applyFont="1" applyFill="1"/>
    <xf numFmtId="0" fontId="33" fillId="2" borderId="3" xfId="2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right" vertic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4" fontId="31" fillId="2" borderId="1" xfId="0" applyNumberFormat="1" applyFont="1" applyFill="1" applyBorder="1" applyAlignment="1">
      <alignment horizontal="center" vertical="center"/>
    </xf>
    <xf numFmtId="44" fontId="31" fillId="2" borderId="22" xfId="0" applyNumberFormat="1" applyFont="1" applyFill="1" applyBorder="1" applyAlignment="1">
      <alignment horizontal="center" vertical="center"/>
    </xf>
    <xf numFmtId="44" fontId="34" fillId="2" borderId="1" xfId="0" applyNumberFormat="1" applyFont="1" applyFill="1" applyBorder="1" applyAlignment="1">
      <alignment horizontal="center" vertical="center"/>
    </xf>
    <xf numFmtId="44" fontId="11" fillId="2" borderId="32" xfId="0" applyNumberFormat="1" applyFont="1" applyFill="1" applyBorder="1" applyAlignment="1">
      <alignment horizontal="right" vertical="center"/>
    </xf>
    <xf numFmtId="44" fontId="11" fillId="2" borderId="24" xfId="0" applyNumberFormat="1" applyFont="1" applyFill="1" applyBorder="1" applyAlignment="1">
      <alignment horizontal="right" vertical="center"/>
    </xf>
    <xf numFmtId="44" fontId="21" fillId="2" borderId="32" xfId="0" applyNumberFormat="1" applyFont="1" applyFill="1" applyBorder="1" applyAlignment="1">
      <alignment horizontal="right" vertical="center"/>
    </xf>
    <xf numFmtId="44" fontId="11" fillId="2" borderId="1" xfId="0" applyNumberFormat="1" applyFont="1" applyFill="1" applyBorder="1" applyAlignment="1">
      <alignment horizontal="right" vertical="center"/>
    </xf>
    <xf numFmtId="44" fontId="11" fillId="2" borderId="22" xfId="0" applyNumberFormat="1" applyFont="1" applyFill="1" applyBorder="1" applyAlignment="1">
      <alignment horizontal="right" vertical="center"/>
    </xf>
    <xf numFmtId="44" fontId="21" fillId="2" borderId="1" xfId="0" applyNumberFormat="1" applyFont="1" applyFill="1" applyBorder="1" applyAlignment="1">
      <alignment horizontal="right" vertical="center"/>
    </xf>
    <xf numFmtId="168" fontId="3" fillId="2" borderId="9" xfId="0" applyNumberFormat="1" applyFont="1" applyFill="1" applyBorder="1" applyAlignment="1">
      <alignment horizontal="right" vertical="center"/>
    </xf>
    <xf numFmtId="170" fontId="0" fillId="0" borderId="9" xfId="0" applyNumberFormat="1" applyBorder="1"/>
    <xf numFmtId="165" fontId="21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top"/>
    </xf>
    <xf numFmtId="0" fontId="36" fillId="2" borderId="0" xfId="0" applyFont="1" applyFill="1" applyAlignment="1">
      <alignment horizontal="center"/>
    </xf>
    <xf numFmtId="0" fontId="25" fillId="2" borderId="0" xfId="2" applyFon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8" xfId="0" applyFill="1" applyBorder="1"/>
    <xf numFmtId="44" fontId="7" fillId="11" borderId="34" xfId="1" applyFont="1" applyFill="1" applyBorder="1"/>
    <xf numFmtId="0" fontId="11" fillId="2" borderId="0" xfId="0" applyFont="1" applyFill="1" applyAlignment="1">
      <alignment vertical="center"/>
    </xf>
    <xf numFmtId="44" fontId="31" fillId="2" borderId="17" xfId="0" applyNumberFormat="1" applyFont="1" applyFill="1" applyBorder="1" applyAlignment="1">
      <alignment horizontal="center" vertical="center"/>
    </xf>
    <xf numFmtId="44" fontId="34" fillId="2" borderId="24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0" fillId="2" borderId="24" xfId="0" applyFill="1" applyBorder="1"/>
    <xf numFmtId="0" fontId="0" fillId="2" borderId="26" xfId="0" applyFill="1" applyBorder="1"/>
    <xf numFmtId="0" fontId="0" fillId="2" borderId="31" xfId="0" applyFill="1" applyBorder="1"/>
    <xf numFmtId="0" fontId="0" fillId="2" borderId="28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15" xfId="0" applyFill="1" applyBorder="1"/>
    <xf numFmtId="0" fontId="0" fillId="2" borderId="25" xfId="0" applyFill="1" applyBorder="1"/>
    <xf numFmtId="0" fontId="0" fillId="2" borderId="27" xfId="0" applyFill="1" applyBorder="1"/>
    <xf numFmtId="0" fontId="0" fillId="2" borderId="39" xfId="0" applyFill="1" applyBorder="1"/>
    <xf numFmtId="0" fontId="0" fillId="2" borderId="16" xfId="0" applyFill="1" applyBorder="1"/>
    <xf numFmtId="0" fontId="0" fillId="2" borderId="1" xfId="0" applyFill="1" applyBorder="1"/>
    <xf numFmtId="0" fontId="24" fillId="2" borderId="1" xfId="2" applyFill="1" applyBorder="1" applyAlignment="1" applyProtection="1">
      <alignment vertical="center"/>
      <protection locked="0"/>
    </xf>
    <xf numFmtId="8" fontId="11" fillId="2" borderId="0" xfId="0" applyNumberFormat="1" applyFont="1" applyFill="1" applyAlignment="1">
      <alignment horizontal="center" vertical="center"/>
    </xf>
    <xf numFmtId="8" fontId="11" fillId="2" borderId="17" xfId="0" applyNumberFormat="1" applyFont="1" applyFill="1" applyBorder="1" applyAlignment="1">
      <alignment horizontal="center" vertical="center"/>
    </xf>
    <xf numFmtId="8" fontId="31" fillId="2" borderId="1" xfId="3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2" xfId="0" applyFill="1" applyBorder="1"/>
    <xf numFmtId="8" fontId="11" fillId="12" borderId="1" xfId="1" applyNumberFormat="1" applyFont="1" applyFill="1" applyBorder="1" applyAlignment="1">
      <alignment horizontal="center"/>
    </xf>
    <xf numFmtId="165" fontId="11" fillId="12" borderId="1" xfId="1" applyNumberFormat="1" applyFont="1" applyFill="1" applyBorder="1" applyAlignment="1">
      <alignment horizontal="center"/>
    </xf>
    <xf numFmtId="165" fontId="21" fillId="12" borderId="1" xfId="0" applyNumberFormat="1" applyFont="1" applyFill="1" applyBorder="1" applyAlignment="1">
      <alignment horizontal="center" vertical="center"/>
    </xf>
    <xf numFmtId="0" fontId="0" fillId="0" borderId="35" xfId="0" applyBorder="1"/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64" fontId="6" fillId="2" borderId="0" xfId="0" applyNumberFormat="1" applyFont="1" applyFill="1"/>
    <xf numFmtId="8" fontId="0" fillId="2" borderId="0" xfId="0" applyNumberFormat="1" applyFill="1"/>
    <xf numFmtId="170" fontId="28" fillId="2" borderId="5" xfId="0" applyNumberFormat="1" applyFont="1" applyFill="1" applyBorder="1" applyAlignment="1">
      <alignment horizontal="right" vertical="center"/>
    </xf>
    <xf numFmtId="170" fontId="28" fillId="2" borderId="6" xfId="0" applyNumberFormat="1" applyFont="1" applyFill="1" applyBorder="1" applyAlignment="1">
      <alignment horizontal="right" vertical="center"/>
    </xf>
    <xf numFmtId="170" fontId="6" fillId="2" borderId="8" xfId="0" applyNumberFormat="1" applyFont="1" applyFill="1" applyBorder="1"/>
    <xf numFmtId="10" fontId="0" fillId="2" borderId="0" xfId="0" applyNumberFormat="1" applyFill="1"/>
    <xf numFmtId="0" fontId="8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170" fontId="0" fillId="2" borderId="0" xfId="0" applyNumberFormat="1" applyFill="1"/>
    <xf numFmtId="1" fontId="0" fillId="2" borderId="0" xfId="0" applyNumberFormat="1" applyFill="1"/>
    <xf numFmtId="10" fontId="0" fillId="2" borderId="0" xfId="5" applyNumberFormat="1" applyFont="1" applyFill="1"/>
    <xf numFmtId="165" fontId="0" fillId="2" borderId="0" xfId="0" applyNumberFormat="1" applyFill="1"/>
    <xf numFmtId="10" fontId="21" fillId="2" borderId="1" xfId="0" applyNumberFormat="1" applyFont="1" applyFill="1" applyBorder="1" applyAlignment="1">
      <alignment horizontal="center" vertical="center"/>
    </xf>
    <xf numFmtId="8" fontId="21" fillId="2" borderId="32" xfId="0" applyNumberFormat="1" applyFont="1" applyFill="1" applyBorder="1" applyAlignment="1">
      <alignment horizontal="right" vertical="center"/>
    </xf>
    <xf numFmtId="0" fontId="35" fillId="2" borderId="23" xfId="0" applyFont="1" applyFill="1" applyBorder="1"/>
    <xf numFmtId="0" fontId="35" fillId="2" borderId="17" xfId="0" applyFont="1" applyFill="1" applyBorder="1"/>
    <xf numFmtId="0" fontId="25" fillId="2" borderId="27" xfId="2" applyFont="1" applyFill="1" applyBorder="1" applyAlignment="1"/>
    <xf numFmtId="0" fontId="25" fillId="2" borderId="31" xfId="2" applyFont="1" applyFill="1" applyBorder="1" applyAlignment="1"/>
    <xf numFmtId="0" fontId="19" fillId="2" borderId="31" xfId="0" applyFont="1" applyFill="1" applyBorder="1"/>
    <xf numFmtId="3" fontId="3" fillId="2" borderId="24" xfId="0" applyNumberFormat="1" applyFont="1" applyFill="1" applyBorder="1" applyAlignment="1">
      <alignment horizontal="right" vertical="center"/>
    </xf>
    <xf numFmtId="0" fontId="26" fillId="2" borderId="28" xfId="0" applyFont="1" applyFill="1" applyBorder="1" applyAlignment="1">
      <alignment horizontal="center" wrapText="1"/>
    </xf>
    <xf numFmtId="0" fontId="25" fillId="2" borderId="0" xfId="2" applyFont="1" applyFill="1" applyBorder="1" applyAlignment="1"/>
    <xf numFmtId="44" fontId="37" fillId="2" borderId="0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164" fontId="6" fillId="2" borderId="1" xfId="0" applyNumberFormat="1" applyFont="1" applyFill="1" applyBorder="1"/>
    <xf numFmtId="6" fontId="6" fillId="6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8" fontId="13" fillId="2" borderId="20" xfId="0" applyNumberFormat="1" applyFont="1" applyFill="1" applyBorder="1" applyAlignment="1">
      <alignment horizontal="center" vertical="center"/>
    </xf>
    <xf numFmtId="8" fontId="6" fillId="2" borderId="1" xfId="0" applyNumberFormat="1" applyFont="1" applyFill="1" applyBorder="1"/>
    <xf numFmtId="164" fontId="29" fillId="3" borderId="1" xfId="0" applyNumberFormat="1" applyFont="1" applyFill="1" applyBorder="1" applyAlignment="1">
      <alignment horizontal="center" vertical="center"/>
    </xf>
    <xf numFmtId="44" fontId="0" fillId="3" borderId="1" xfId="1" applyFont="1" applyFill="1" applyBorder="1"/>
    <xf numFmtId="8" fontId="21" fillId="2" borderId="2" xfId="0" applyNumberFormat="1" applyFont="1" applyFill="1" applyBorder="1" applyAlignment="1">
      <alignment horizontal="center" vertical="center"/>
    </xf>
    <xf numFmtId="1" fontId="11" fillId="2" borderId="2" xfId="1" applyNumberFormat="1" applyFont="1" applyFill="1" applyBorder="1" applyAlignment="1" applyProtection="1">
      <alignment horizontal="center"/>
    </xf>
    <xf numFmtId="1" fontId="11" fillId="2" borderId="33" xfId="1" applyNumberFormat="1" applyFont="1" applyFill="1" applyBorder="1" applyAlignment="1" applyProtection="1">
      <alignment horizontal="center"/>
    </xf>
    <xf numFmtId="3" fontId="21" fillId="2" borderId="33" xfId="0" applyNumberFormat="1" applyFont="1" applyFill="1" applyBorder="1" applyAlignment="1">
      <alignment horizontal="center" vertical="center"/>
    </xf>
    <xf numFmtId="10" fontId="3" fillId="2" borderId="9" xfId="5" applyNumberFormat="1" applyFont="1" applyFill="1" applyBorder="1" applyAlignment="1">
      <alignment horizontal="right" vertical="center"/>
    </xf>
    <xf numFmtId="44" fontId="3" fillId="2" borderId="9" xfId="1" applyFont="1" applyFill="1" applyBorder="1" applyAlignment="1">
      <alignment horizontal="right" vertical="center"/>
    </xf>
    <xf numFmtId="171" fontId="0" fillId="2" borderId="0" xfId="5" applyNumberFormat="1" applyFont="1" applyFill="1"/>
    <xf numFmtId="10" fontId="31" fillId="2" borderId="1" xfId="3" applyNumberFormat="1" applyFont="1" applyFill="1" applyBorder="1" applyAlignment="1">
      <alignment horizontal="center"/>
    </xf>
    <xf numFmtId="10" fontId="31" fillId="2" borderId="24" xfId="3" applyNumberFormat="1" applyFont="1" applyFill="1" applyBorder="1" applyAlignment="1">
      <alignment horizontal="center"/>
    </xf>
    <xf numFmtId="10" fontId="31" fillId="2" borderId="32" xfId="3" applyNumberFormat="1" applyFont="1" applyFill="1" applyBorder="1" applyAlignment="1">
      <alignment horizontal="center"/>
    </xf>
    <xf numFmtId="10" fontId="31" fillId="2" borderId="32" xfId="3" applyNumberFormat="1" applyFont="1" applyFill="1" applyBorder="1" applyAlignment="1">
      <alignment horizontal="center" vertical="center"/>
    </xf>
    <xf numFmtId="8" fontId="11" fillId="0" borderId="2" xfId="4" applyNumberFormat="1" applyFont="1" applyFill="1" applyBorder="1" applyAlignment="1" applyProtection="1">
      <alignment horizontal="center" vertical="center"/>
    </xf>
    <xf numFmtId="3" fontId="11" fillId="0" borderId="2" xfId="4" applyNumberFormat="1" applyFont="1" applyFill="1" applyBorder="1" applyAlignment="1" applyProtection="1">
      <alignment horizontal="center" vertical="center"/>
    </xf>
    <xf numFmtId="0" fontId="23" fillId="2" borderId="0" xfId="0" applyFont="1" applyFill="1" applyProtection="1">
      <protection hidden="1"/>
    </xf>
    <xf numFmtId="0" fontId="11" fillId="11" borderId="2" xfId="0" applyFont="1" applyFill="1" applyBorder="1" applyAlignment="1" applyProtection="1">
      <alignment horizontal="center" vertical="center"/>
      <protection locked="0"/>
    </xf>
    <xf numFmtId="1" fontId="11" fillId="11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2" xfId="4" applyNumberFormat="1" applyFill="1" applyBorder="1" applyAlignment="1" applyProtection="1">
      <alignment horizontal="center" vertical="center"/>
    </xf>
    <xf numFmtId="0" fontId="3" fillId="11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4" fontId="37" fillId="2" borderId="0" xfId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8" fontId="15" fillId="3" borderId="0" xfId="0" applyNumberFormat="1" applyFont="1" applyFill="1" applyAlignment="1">
      <alignment horizontal="center" vertical="center"/>
    </xf>
    <xf numFmtId="8" fontId="15" fillId="3" borderId="9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8" fontId="5" fillId="6" borderId="0" xfId="0" applyNumberFormat="1" applyFont="1" applyFill="1" applyAlignment="1">
      <alignment horizontal="center" vertical="center"/>
    </xf>
    <xf numFmtId="8" fontId="5" fillId="6" borderId="9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/>
    </xf>
    <xf numFmtId="0" fontId="35" fillId="2" borderId="17" xfId="0" applyFont="1" applyFill="1" applyBorder="1" applyAlignment="1">
      <alignment horizontal="center"/>
    </xf>
    <xf numFmtId="0" fontId="35" fillId="2" borderId="24" xfId="0" applyFont="1" applyFill="1" applyBorder="1" applyAlignment="1">
      <alignment horizontal="center"/>
    </xf>
    <xf numFmtId="0" fontId="25" fillId="2" borderId="27" xfId="2" applyFont="1" applyFill="1" applyBorder="1" applyAlignment="1">
      <alignment horizontal="center"/>
    </xf>
    <xf numFmtId="0" fontId="25" fillId="2" borderId="31" xfId="2" applyFont="1" applyFill="1" applyBorder="1" applyAlignment="1">
      <alignment horizontal="center"/>
    </xf>
    <xf numFmtId="0" fontId="19" fillId="2" borderId="31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6" fillId="2" borderId="23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25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26" xfId="0" applyFont="1" applyFill="1" applyBorder="1" applyAlignment="1">
      <alignment horizontal="center"/>
    </xf>
    <xf numFmtId="0" fontId="24" fillId="2" borderId="27" xfId="2" applyFill="1" applyBorder="1" applyAlignment="1">
      <alignment horizontal="center"/>
    </xf>
    <xf numFmtId="0" fontId="24" fillId="2" borderId="31" xfId="2" applyFill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0" fontId="27" fillId="2" borderId="28" xfId="0" applyFont="1" applyFill="1" applyBorder="1" applyAlignment="1">
      <alignment horizontal="center"/>
    </xf>
    <xf numFmtId="0" fontId="33" fillId="2" borderId="0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44" fontId="17" fillId="0" borderId="0" xfId="0" applyNumberFormat="1" applyFont="1" applyAlignment="1">
      <alignment horizontal="center"/>
    </xf>
    <xf numFmtId="44" fontId="37" fillId="2" borderId="0" xfId="1" applyFont="1" applyFill="1" applyBorder="1" applyAlignment="1">
      <alignment horizontal="left" vertical="center"/>
    </xf>
  </cellXfs>
  <cellStyles count="6">
    <cellStyle name="60% - Accent6" xfId="4" builtinId="52"/>
    <cellStyle name="Accent6" xfId="3" builtinId="49"/>
    <cellStyle name="Currency" xfId="1" builtinId="4"/>
    <cellStyle name="Hyperlink" xfId="2" builtinId="8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contractcenter.com/CreditApplication/Start/EnergyEfficiency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ycontractcenter.com/CreditApplication/Start/EnergyEfficienc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contractcenter.com/CreditApplication/Start/EnergyEfficiency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ycontractcenter.com/CreditApplication/Start/EnergyEfficienc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318978</xdr:colOff>
      <xdr:row>5</xdr:row>
      <xdr:rowOff>183261</xdr:rowOff>
    </xdr:from>
    <xdr:to>
      <xdr:col>6</xdr:col>
      <xdr:colOff>1131744</xdr:colOff>
      <xdr:row>13</xdr:row>
      <xdr:rowOff>93594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2F823-60D8-499B-A5D9-0F16CF9D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328" y="754761"/>
          <a:ext cx="3394041" cy="1672458"/>
        </a:xfrm>
        <a:prstGeom prst="rect">
          <a:avLst/>
        </a:prstGeom>
      </xdr:spPr>
    </xdr:pic>
    <xdr:clientData/>
  </xdr:twoCellAnchor>
  <xdr:twoCellAnchor>
    <xdr:from>
      <xdr:col>1</xdr:col>
      <xdr:colOff>541683</xdr:colOff>
      <xdr:row>30</xdr:row>
      <xdr:rowOff>296104</xdr:rowOff>
    </xdr:from>
    <xdr:to>
      <xdr:col>1</xdr:col>
      <xdr:colOff>1979957</xdr:colOff>
      <xdr:row>32</xdr:row>
      <xdr:rowOff>26505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334E01-3F78-4378-9452-0FBB9428451A}"/>
            </a:ext>
          </a:extLst>
        </xdr:cNvPr>
        <xdr:cNvSpPr/>
      </xdr:nvSpPr>
      <xdr:spPr>
        <a:xfrm>
          <a:off x="591379" y="5729495"/>
          <a:ext cx="1438274" cy="326749"/>
        </a:xfrm>
        <a:prstGeom prst="round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APPLY</a:t>
          </a:r>
          <a:r>
            <a:rPr lang="en-US" sz="1800" baseline="0"/>
            <a:t> NOW</a:t>
          </a:r>
          <a:endParaRPr 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638176</xdr:colOff>
      <xdr:row>31</xdr:row>
      <xdr:rowOff>266700</xdr:rowOff>
    </xdr:from>
    <xdr:to>
      <xdr:col>1</xdr:col>
      <xdr:colOff>2076450</xdr:colOff>
      <xdr:row>33</xdr:row>
      <xdr:rowOff>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602A4-C95F-48E5-A4B0-D7CF87478C2D}"/>
            </a:ext>
          </a:extLst>
        </xdr:cNvPr>
        <xdr:cNvSpPr/>
      </xdr:nvSpPr>
      <xdr:spPr>
        <a:xfrm>
          <a:off x="742951" y="5734050"/>
          <a:ext cx="1438274" cy="323850"/>
        </a:xfrm>
        <a:prstGeom prst="round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APPLY</a:t>
          </a:r>
          <a:r>
            <a:rPr lang="en-US" sz="1800" baseline="0"/>
            <a:t> NOW</a:t>
          </a:r>
          <a:endParaRPr lang="en-US" sz="1800"/>
        </a:p>
      </xdr:txBody>
    </xdr:sp>
    <xdr:clientData/>
  </xdr:twoCellAnchor>
  <xdr:twoCellAnchor editAs="oneCell">
    <xdr:from>
      <xdr:col>4</xdr:col>
      <xdr:colOff>352425</xdr:colOff>
      <xdr:row>5</xdr:row>
      <xdr:rowOff>161925</xdr:rowOff>
    </xdr:from>
    <xdr:to>
      <xdr:col>6</xdr:col>
      <xdr:colOff>1203291</xdr:colOff>
      <xdr:row>13</xdr:row>
      <xdr:rowOff>157983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D4DCE1-C38C-4B6F-8DFA-FB7D2B5C3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781050"/>
          <a:ext cx="3394041" cy="1672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280148</xdr:colOff>
      <xdr:row>5</xdr:row>
      <xdr:rowOff>106793</xdr:rowOff>
    </xdr:from>
    <xdr:to>
      <xdr:col>7</xdr:col>
      <xdr:colOff>335616</xdr:colOff>
      <xdr:row>14</xdr:row>
      <xdr:rowOff>16892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2FD693-5F02-4141-BB34-1D7344CB6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6530" y="723117"/>
          <a:ext cx="3563470" cy="1966266"/>
        </a:xfrm>
        <a:prstGeom prst="rect">
          <a:avLst/>
        </a:prstGeom>
      </xdr:spPr>
    </xdr:pic>
    <xdr:clientData/>
  </xdr:twoCellAnchor>
  <xdr:twoCellAnchor>
    <xdr:from>
      <xdr:col>1</xdr:col>
      <xdr:colOff>320489</xdr:colOff>
      <xdr:row>29</xdr:row>
      <xdr:rowOff>58831</xdr:rowOff>
    </xdr:from>
    <xdr:to>
      <xdr:col>1</xdr:col>
      <xdr:colOff>1758763</xdr:colOff>
      <xdr:row>29</xdr:row>
      <xdr:rowOff>345141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19F520-E4F3-41FF-8C62-4743648B9DA2}"/>
            </a:ext>
          </a:extLst>
        </xdr:cNvPr>
        <xdr:cNvSpPr/>
      </xdr:nvSpPr>
      <xdr:spPr>
        <a:xfrm>
          <a:off x="421342" y="5482478"/>
          <a:ext cx="1438274" cy="286310"/>
        </a:xfrm>
        <a:prstGeom prst="round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APPLY</a:t>
          </a:r>
          <a:r>
            <a:rPr lang="en-US" sz="1800" baseline="0"/>
            <a:t> NOW</a:t>
          </a:r>
          <a:endParaRPr lang="en-US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320489</xdr:colOff>
      <xdr:row>29</xdr:row>
      <xdr:rowOff>58831</xdr:rowOff>
    </xdr:from>
    <xdr:to>
      <xdr:col>1</xdr:col>
      <xdr:colOff>1758763</xdr:colOff>
      <xdr:row>29</xdr:row>
      <xdr:rowOff>345141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D4BF2E-8782-4139-A738-916686D70118}"/>
            </a:ext>
          </a:extLst>
        </xdr:cNvPr>
        <xdr:cNvSpPr/>
      </xdr:nvSpPr>
      <xdr:spPr>
        <a:xfrm>
          <a:off x="425264" y="5497606"/>
          <a:ext cx="1438274" cy="286310"/>
        </a:xfrm>
        <a:prstGeom prst="round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APPLY</a:t>
          </a:r>
          <a:r>
            <a:rPr lang="en-US" sz="1800" baseline="0"/>
            <a:t> NOW</a:t>
          </a:r>
          <a:endParaRPr lang="en-US" sz="1800"/>
        </a:p>
      </xdr:txBody>
    </xdr:sp>
    <xdr:clientData/>
  </xdr:twoCellAnchor>
  <xdr:twoCellAnchor editAs="oneCell">
    <xdr:from>
      <xdr:col>4</xdr:col>
      <xdr:colOff>285750</xdr:colOff>
      <xdr:row>5</xdr:row>
      <xdr:rowOff>114300</xdr:rowOff>
    </xdr:from>
    <xdr:to>
      <xdr:col>7</xdr:col>
      <xdr:colOff>324970</xdr:colOff>
      <xdr:row>14</xdr:row>
      <xdr:rowOff>13641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4F9BEC-C5DC-427D-BDD8-FE41B12FF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733425"/>
          <a:ext cx="3563470" cy="1966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erman@verdantcc.com" TargetMode="External"/><Relationship Id="rId2" Type="http://schemas.openxmlformats.org/officeDocument/2006/relationships/hyperlink" Target="https://www.mycontractcenter.com/CreditApplication/Start/EnergyEfficiency" TargetMode="External"/><Relationship Id="rId1" Type="http://schemas.openxmlformats.org/officeDocument/2006/relationships/hyperlink" Target="mailto:cherman@verdantcc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ycontractcenter.com/rates/nationalgridenhanced/ratecard/25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erman@verdantcc.com" TargetMode="External"/><Relationship Id="rId2" Type="http://schemas.openxmlformats.org/officeDocument/2006/relationships/hyperlink" Target="https://www.mycontractcenter.com/CreditApplication/Start/EnergyEfficiency" TargetMode="External"/><Relationship Id="rId1" Type="http://schemas.openxmlformats.org/officeDocument/2006/relationships/hyperlink" Target="mailto:cherman@verdantcc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mycontractcenter.com/rates/nationalgridenhanced/ratecard/25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herman@verdantcc.com" TargetMode="External"/><Relationship Id="rId1" Type="http://schemas.openxmlformats.org/officeDocument/2006/relationships/hyperlink" Target="https://www.mycontractcenter.com/rates/nationalgridenhanced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herman@verdantcc.com" TargetMode="External"/><Relationship Id="rId1" Type="http://schemas.openxmlformats.org/officeDocument/2006/relationships/hyperlink" Target="https://www.mycontractcenter.com/rates/nationalgridenhanced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71"/>
  <sheetViews>
    <sheetView tabSelected="1" topLeftCell="B2" zoomScale="115" zoomScaleNormal="115" workbookViewId="0">
      <selection activeCell="D14" sqref="D14"/>
    </sheetView>
  </sheetViews>
  <sheetFormatPr defaultRowHeight="15" x14ac:dyDescent="0.25"/>
  <cols>
    <col min="1" max="1" width="0.7109375" customWidth="1"/>
    <col min="2" max="2" width="42" customWidth="1"/>
    <col min="3" max="3" width="0.7109375" customWidth="1"/>
    <col min="4" max="4" width="21.42578125" customWidth="1"/>
    <col min="5" max="5" width="19.42578125" customWidth="1"/>
    <col min="6" max="6" width="19.28515625" customWidth="1"/>
    <col min="7" max="7" width="18.7109375" customWidth="1"/>
    <col min="8" max="8" width="8.85546875" customWidth="1"/>
    <col min="9" max="9" width="5.140625" customWidth="1"/>
    <col min="10" max="10" width="11.28515625" hidden="1" customWidth="1"/>
    <col min="11" max="11" width="9.140625" hidden="1" customWidth="1"/>
    <col min="12" max="12" width="47.28515625" hidden="1" customWidth="1"/>
    <col min="13" max="14" width="12.5703125" hidden="1" customWidth="1"/>
    <col min="15" max="15" width="11.5703125" hidden="1" customWidth="1"/>
    <col min="16" max="16" width="12.140625" hidden="1" customWidth="1"/>
    <col min="17" max="17" width="22.42578125" hidden="1" customWidth="1"/>
    <col min="18" max="21" width="11.85546875" hidden="1" customWidth="1"/>
    <col min="22" max="22" width="14" hidden="1" customWidth="1"/>
    <col min="23" max="23" width="13.28515625" customWidth="1"/>
    <col min="24" max="24" width="11.42578125" customWidth="1"/>
    <col min="25" max="25" width="10.7109375" customWidth="1"/>
    <col min="26" max="26" width="7.5703125" customWidth="1"/>
  </cols>
  <sheetData>
    <row r="1" spans="1:40" ht="3" hidden="1" customHeight="1" x14ac:dyDescent="0.25">
      <c r="A1" s="46"/>
      <c r="B1" s="7"/>
      <c r="C1" s="2"/>
      <c r="D1" s="46"/>
      <c r="E1" s="46"/>
      <c r="F1" s="46"/>
      <c r="G1" s="13"/>
      <c r="H1" s="3"/>
      <c r="I1" s="3"/>
      <c r="J1" s="3"/>
      <c r="K1" s="3"/>
      <c r="L1" s="3"/>
      <c r="M1" s="3"/>
      <c r="N1" s="27"/>
      <c r="O1" s="26"/>
      <c r="P1" s="1"/>
    </row>
    <row r="2" spans="1:40" ht="27" customHeight="1" x14ac:dyDescent="0.25">
      <c r="A2" s="46"/>
      <c r="B2" s="317" t="s">
        <v>126</v>
      </c>
      <c r="C2" s="317"/>
      <c r="D2" s="317"/>
      <c r="E2" s="317"/>
      <c r="F2" s="317"/>
      <c r="G2" s="318"/>
      <c r="H2" s="13"/>
      <c r="I2" s="13"/>
      <c r="J2" s="21"/>
      <c r="K2" s="21"/>
      <c r="L2" s="21"/>
      <c r="M2" s="25"/>
      <c r="N2" s="79"/>
      <c r="O2" s="80"/>
      <c r="P2" s="81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8" customHeight="1" x14ac:dyDescent="0.25">
      <c r="A3" s="46"/>
      <c r="B3" s="320" t="s">
        <v>0</v>
      </c>
      <c r="C3" s="320"/>
      <c r="D3" s="320"/>
      <c r="E3" s="320"/>
      <c r="F3" s="320"/>
      <c r="G3" s="321"/>
      <c r="H3" s="13"/>
      <c r="I3" s="13"/>
      <c r="J3" s="21"/>
      <c r="K3" s="21"/>
      <c r="L3" s="21"/>
      <c r="M3" s="25"/>
      <c r="N3" s="82"/>
      <c r="O3" s="83"/>
      <c r="P3" s="81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</row>
    <row r="4" spans="1:40" ht="1.5" hidden="1" customHeight="1" x14ac:dyDescent="0.25">
      <c r="A4" s="46"/>
      <c r="B4" s="9"/>
      <c r="C4" s="73"/>
      <c r="D4" s="74"/>
      <c r="E4" s="72"/>
      <c r="F4" s="72"/>
      <c r="G4" s="17"/>
      <c r="H4" s="17"/>
      <c r="I4" s="17"/>
      <c r="J4" s="21"/>
      <c r="K4" s="21"/>
      <c r="L4" s="21"/>
      <c r="M4" s="25"/>
      <c r="N4" s="82"/>
      <c r="O4" s="83"/>
      <c r="P4" s="81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40" ht="4.5" hidden="1" customHeight="1" x14ac:dyDescent="0.25">
      <c r="A5" s="46"/>
      <c r="C5" s="43"/>
      <c r="D5" s="46"/>
      <c r="E5" s="46"/>
      <c r="F5" s="46"/>
      <c r="G5" s="17"/>
      <c r="H5" s="17"/>
      <c r="I5" s="17"/>
      <c r="J5" s="21"/>
      <c r="K5" s="21"/>
      <c r="L5" s="21"/>
      <c r="M5" s="25"/>
      <c r="N5" s="82"/>
      <c r="O5" s="83"/>
      <c r="P5" s="81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40" ht="19.5" customHeight="1" thickBot="1" x14ac:dyDescent="0.35">
      <c r="A6" s="46"/>
      <c r="B6" s="47" t="s">
        <v>1</v>
      </c>
      <c r="C6" s="44"/>
      <c r="D6" s="45"/>
      <c r="E6" s="45"/>
      <c r="F6" s="45"/>
      <c r="G6" s="17"/>
      <c r="H6" s="17"/>
      <c r="I6" s="17"/>
      <c r="J6" s="21"/>
      <c r="K6" s="21"/>
      <c r="L6" s="21"/>
      <c r="M6" s="333" t="s">
        <v>2</v>
      </c>
      <c r="N6" s="334"/>
      <c r="O6" s="334"/>
      <c r="P6" s="33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40" ht="19.5" customHeight="1" thickBot="1" x14ac:dyDescent="0.3">
      <c r="A7" s="46"/>
      <c r="B7" s="48" t="s">
        <v>3</v>
      </c>
      <c r="C7" s="8"/>
      <c r="D7" s="313" t="s">
        <v>4</v>
      </c>
      <c r="F7" s="46"/>
      <c r="G7" s="13"/>
      <c r="H7" s="13"/>
      <c r="I7" s="13"/>
      <c r="J7" s="21"/>
      <c r="K7" s="21"/>
      <c r="L7" s="344" t="s">
        <v>5</v>
      </c>
      <c r="M7" s="102"/>
      <c r="N7" s="336" t="s">
        <v>6</v>
      </c>
      <c r="O7" s="336"/>
      <c r="P7" s="103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</row>
    <row r="8" spans="1:40" ht="20.25" customHeight="1" thickBot="1" x14ac:dyDescent="0.3">
      <c r="A8" s="46"/>
      <c r="B8" s="260" t="s">
        <v>7</v>
      </c>
      <c r="C8" s="44"/>
      <c r="D8" s="162">
        <v>630000</v>
      </c>
      <c r="E8" s="46"/>
      <c r="F8" s="46"/>
      <c r="G8" s="13"/>
      <c r="H8" s="13"/>
      <c r="I8" s="13"/>
      <c r="J8" s="21"/>
      <c r="K8" s="21"/>
      <c r="L8" s="344"/>
      <c r="M8" s="337" t="s">
        <v>8</v>
      </c>
      <c r="N8" s="338"/>
      <c r="O8" s="338"/>
      <c r="P8" s="339"/>
      <c r="Q8" s="46" t="s">
        <v>9</v>
      </c>
      <c r="R8" s="272">
        <f>K12</f>
        <v>0.1237</v>
      </c>
      <c r="S8" s="272">
        <f>L12</f>
        <v>0.1072</v>
      </c>
      <c r="T8" s="272">
        <f>M12</f>
        <v>0.1007</v>
      </c>
      <c r="U8" s="272">
        <v>9.3700000000000006E-2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</row>
    <row r="9" spans="1:40" ht="20.25" customHeight="1" thickBot="1" x14ac:dyDescent="0.3">
      <c r="A9" s="46"/>
      <c r="B9" s="261" t="s">
        <v>10</v>
      </c>
      <c r="C9" s="44"/>
      <c r="D9" s="162">
        <v>130000</v>
      </c>
      <c r="E9" s="51"/>
      <c r="F9" s="89"/>
      <c r="G9" s="13"/>
      <c r="H9" s="13"/>
      <c r="I9" s="13"/>
      <c r="J9" s="21"/>
      <c r="K9" s="21"/>
      <c r="L9" s="345"/>
      <c r="M9" s="340" t="s">
        <v>11</v>
      </c>
      <c r="N9" s="341"/>
      <c r="O9" s="342" t="s">
        <v>12</v>
      </c>
      <c r="P9" s="343"/>
      <c r="Q9" s="46" t="s">
        <v>13</v>
      </c>
      <c r="R9" s="265">
        <f>D12-R28</f>
        <v>454000</v>
      </c>
      <c r="S9" s="265">
        <f>D12-S28</f>
        <v>454000</v>
      </c>
      <c r="T9" s="265">
        <f>D12-T28</f>
        <v>454000</v>
      </c>
      <c r="U9" s="265">
        <f>D12-U28</f>
        <v>454000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40" ht="20.25" customHeight="1" thickBot="1" x14ac:dyDescent="0.3">
      <c r="A10" s="46"/>
      <c r="B10" s="261" t="s">
        <v>14</v>
      </c>
      <c r="C10" s="258"/>
      <c r="D10" s="162">
        <v>156000</v>
      </c>
      <c r="E10" s="51"/>
      <c r="F10" s="89"/>
      <c r="G10" s="17"/>
      <c r="H10" s="17"/>
      <c r="I10" s="17"/>
      <c r="J10" s="21"/>
      <c r="K10" s="21"/>
      <c r="L10" s="207"/>
      <c r="M10" s="143"/>
      <c r="N10" s="143"/>
      <c r="O10" s="71"/>
      <c r="P10" s="71"/>
      <c r="Q10" t="s">
        <v>15</v>
      </c>
      <c r="R10" s="46">
        <v>24</v>
      </c>
      <c r="S10" s="46">
        <v>36</v>
      </c>
      <c r="T10" s="273">
        <v>48</v>
      </c>
      <c r="U10" s="46">
        <v>60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40" ht="8.25" customHeight="1" x14ac:dyDescent="0.25">
      <c r="A11" s="46"/>
      <c r="B11" s="28"/>
      <c r="C11" s="53"/>
      <c r="D11" s="54"/>
      <c r="E11" s="19"/>
      <c r="F11" s="90"/>
      <c r="G11" s="17"/>
      <c r="H11" s="17"/>
      <c r="I11" s="17"/>
      <c r="J11" s="21"/>
      <c r="K11" s="21"/>
      <c r="L11" s="21"/>
      <c r="M11" s="25"/>
      <c r="N11" s="82"/>
      <c r="O11" s="83"/>
      <c r="P11" s="81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40" ht="20.25" customHeight="1" x14ac:dyDescent="0.3">
      <c r="A12" s="46"/>
      <c r="B12" s="59" t="s">
        <v>16</v>
      </c>
      <c r="C12" s="55"/>
      <c r="D12" s="60">
        <f>D8-D9</f>
        <v>500000</v>
      </c>
      <c r="E12" s="52"/>
      <c r="F12" s="91"/>
      <c r="G12" s="13"/>
      <c r="H12" s="13"/>
      <c r="I12" s="13"/>
      <c r="J12" s="21"/>
      <c r="K12" s="266">
        <v>0.1237</v>
      </c>
      <c r="L12" s="266">
        <v>0.1072</v>
      </c>
      <c r="M12" s="267">
        <v>0.1007</v>
      </c>
      <c r="N12" s="268">
        <v>9.3700000000000006E-2</v>
      </c>
      <c r="O12" s="83"/>
      <c r="P12" s="81"/>
      <c r="Q12" s="46" t="s">
        <v>17</v>
      </c>
      <c r="R12" s="46">
        <v>0</v>
      </c>
      <c r="S12" s="46">
        <v>0</v>
      </c>
      <c r="T12" s="46">
        <v>0</v>
      </c>
      <c r="U12" s="46">
        <v>0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</row>
    <row r="13" spans="1:40" ht="10.5" customHeight="1" thickBot="1" x14ac:dyDescent="0.35">
      <c r="A13" s="46"/>
      <c r="B13" s="47"/>
      <c r="C13" s="136"/>
      <c r="D13" s="200"/>
      <c r="E13" s="201"/>
      <c r="F13" s="206"/>
      <c r="G13" s="13"/>
      <c r="H13" s="13"/>
      <c r="I13" s="13"/>
      <c r="J13" s="21"/>
      <c r="K13" s="202"/>
      <c r="L13" s="106"/>
      <c r="M13" s="3"/>
      <c r="N13" s="86"/>
      <c r="O13" s="83"/>
      <c r="P13" s="81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ht="15.75" customHeight="1" thickBot="1" x14ac:dyDescent="0.3">
      <c r="A14" s="46"/>
      <c r="B14" s="205" t="s">
        <v>18</v>
      </c>
      <c r="C14" s="203"/>
      <c r="D14" s="311">
        <v>92000</v>
      </c>
      <c r="E14" s="46"/>
      <c r="F14" s="46"/>
      <c r="G14" s="13"/>
      <c r="H14" s="13"/>
      <c r="I14" s="13"/>
      <c r="J14" s="21"/>
      <c r="K14" s="95" t="s">
        <v>19</v>
      </c>
      <c r="L14" s="104" t="s">
        <v>20</v>
      </c>
      <c r="M14" s="108" t="s">
        <v>21</v>
      </c>
      <c r="N14" s="109" t="s">
        <v>22</v>
      </c>
      <c r="O14" s="83"/>
      <c r="P14" s="81"/>
      <c r="Q14" s="46" t="s">
        <v>23</v>
      </c>
      <c r="R14" s="265">
        <f t="shared" ref="R14:S14" si="0">PMT(R8/12,R10,-R9)</f>
        <v>21449.886295839464</v>
      </c>
      <c r="S14" s="265">
        <f t="shared" si="0"/>
        <v>14803.250509871614</v>
      </c>
      <c r="T14" s="265">
        <f>PMT(T8/12,T10,-T9)</f>
        <v>11529.881039723055</v>
      </c>
      <c r="U14" s="265">
        <f>PMT(U8/12,U10,-U9)</f>
        <v>9506.0282292371448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ht="19.5" hidden="1" customHeight="1" thickBot="1" x14ac:dyDescent="0.3">
      <c r="A15" s="46"/>
      <c r="B15" s="259" t="s">
        <v>24</v>
      </c>
      <c r="C15" s="61"/>
      <c r="D15" s="204">
        <v>0</v>
      </c>
      <c r="E15" s="46"/>
      <c r="F15" s="46"/>
      <c r="G15" s="13"/>
      <c r="H15" s="17"/>
      <c r="I15" s="17"/>
      <c r="J15" s="96" t="s">
        <v>25</v>
      </c>
      <c r="K15" s="116">
        <f>D12*0.1181</f>
        <v>59050</v>
      </c>
      <c r="L15" s="115">
        <f>D12*0.1481</f>
        <v>74050</v>
      </c>
      <c r="M15" s="110">
        <f>D12*0.1459</f>
        <v>72950</v>
      </c>
      <c r="N15" s="111">
        <f>D12*0.1631</f>
        <v>81550</v>
      </c>
      <c r="O15" s="83"/>
      <c r="P15" s="81"/>
      <c r="Q15" s="46" t="s">
        <v>26</v>
      </c>
      <c r="R15" s="269">
        <f>RATE(R10,R14,-D12)</f>
        <v>2.3464829484484205E-3</v>
      </c>
      <c r="S15" s="269">
        <f>RATE(S10,S14,-D12)</f>
        <v>3.4877784365467367E-3</v>
      </c>
      <c r="T15" s="269">
        <f>RATE(T10,T14,-D12)</f>
        <v>4.2226945768907564E-3</v>
      </c>
      <c r="U15" s="269">
        <f>RATE(U10,U14,-D12)</f>
        <v>4.422227718603431E-3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ht="28.5" hidden="1" customHeight="1" thickBot="1" x14ac:dyDescent="0.3">
      <c r="A16" s="46"/>
      <c r="B16" s="259" t="s">
        <v>27</v>
      </c>
      <c r="C16" s="253"/>
      <c r="D16" s="310">
        <v>800</v>
      </c>
      <c r="E16" s="46"/>
      <c r="F16" s="46"/>
      <c r="G16" s="34"/>
      <c r="H16" s="3"/>
      <c r="I16" s="3"/>
      <c r="J16" s="97"/>
      <c r="K16" s="38" t="s">
        <v>28</v>
      </c>
      <c r="L16" s="104" t="s">
        <v>29</v>
      </c>
      <c r="M16" s="112" t="s">
        <v>30</v>
      </c>
      <c r="N16" s="109" t="s">
        <v>22</v>
      </c>
      <c r="O16" s="83"/>
      <c r="P16" s="81"/>
      <c r="Q16" s="46" t="s">
        <v>31</v>
      </c>
      <c r="R16" s="274">
        <f t="shared" ref="R16:T16" si="1">R15*12</f>
        <v>2.8157795381381044E-2</v>
      </c>
      <c r="S16" s="274">
        <f t="shared" si="1"/>
        <v>4.185334123856084E-2</v>
      </c>
      <c r="T16" s="274">
        <f t="shared" si="1"/>
        <v>5.0672334922689077E-2</v>
      </c>
      <c r="U16" s="274">
        <f>U15*12</f>
        <v>5.3066732623241172E-2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ht="22.5" customHeight="1" x14ac:dyDescent="0.3">
      <c r="A17" s="46"/>
      <c r="B17" s="47" t="s">
        <v>32</v>
      </c>
      <c r="C17" s="63"/>
      <c r="D17" s="46"/>
      <c r="E17" s="46"/>
      <c r="F17" s="46"/>
      <c r="G17" s="13"/>
      <c r="H17" s="3"/>
      <c r="I17" s="3"/>
      <c r="J17" s="97"/>
      <c r="K17" s="116">
        <f>J26</f>
        <v>46000</v>
      </c>
      <c r="L17" s="115">
        <f>J26</f>
        <v>46000</v>
      </c>
      <c r="M17" s="114">
        <f>J26</f>
        <v>46000</v>
      </c>
      <c r="N17" s="111">
        <f>J26</f>
        <v>46000</v>
      </c>
      <c r="O17" s="83"/>
      <c r="P17" s="81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ht="18.75" customHeight="1" thickBot="1" x14ac:dyDescent="0.5">
      <c r="A18" s="46"/>
      <c r="B18" s="248"/>
      <c r="C18" s="46"/>
      <c r="D18" s="65" t="s">
        <v>33</v>
      </c>
      <c r="E18" s="66" t="s">
        <v>34</v>
      </c>
      <c r="F18" s="65" t="s">
        <v>35</v>
      </c>
      <c r="G18" s="65" t="s">
        <v>36</v>
      </c>
      <c r="H18" s="92"/>
      <c r="I18" s="92"/>
      <c r="J18" s="96" t="s">
        <v>37</v>
      </c>
      <c r="K18" s="331" t="s">
        <v>38</v>
      </c>
      <c r="L18" s="332"/>
      <c r="M18" s="3"/>
      <c r="N18" s="86"/>
      <c r="O18" s="83"/>
      <c r="P18" s="81"/>
      <c r="Q18" s="46"/>
      <c r="R18" s="46">
        <v>24</v>
      </c>
      <c r="S18" s="46">
        <v>36</v>
      </c>
      <c r="T18" s="46">
        <v>48</v>
      </c>
      <c r="U18" s="46">
        <v>60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ht="18.75" hidden="1" customHeight="1" x14ac:dyDescent="0.25">
      <c r="A19" s="46"/>
      <c r="B19" s="67" t="s">
        <v>39</v>
      </c>
      <c r="C19" s="46"/>
      <c r="D19" s="75" t="str">
        <f>IF(D12&lt;250000, "Yes", "No")</f>
        <v>No</v>
      </c>
      <c r="E19" s="75" t="str">
        <f>IF(D12&lt;250000, "Yes", "No")</f>
        <v>No</v>
      </c>
      <c r="F19" s="75" t="str">
        <f>IF(D12&lt;250000, "Yes", "No")</f>
        <v>No</v>
      </c>
      <c r="G19" s="75" t="str">
        <f>IF(D12&lt;250000, "Yes", "No")</f>
        <v>No</v>
      </c>
      <c r="H19" s="3"/>
      <c r="I19" s="3"/>
      <c r="J19" s="97"/>
      <c r="K19" s="39" t="s">
        <v>40</v>
      </c>
      <c r="L19" s="105" t="s">
        <v>41</v>
      </c>
      <c r="M19" s="108">
        <v>48</v>
      </c>
      <c r="N19" s="113">
        <v>60</v>
      </c>
      <c r="O19" s="83"/>
      <c r="P19" s="81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ht="19.5" hidden="1" customHeight="1" thickBot="1" x14ac:dyDescent="0.3">
      <c r="A20" s="46"/>
      <c r="B20" s="67" t="s">
        <v>42</v>
      </c>
      <c r="C20" s="46"/>
      <c r="D20" s="75" t="str">
        <f>IF(D21&gt;0, "Yes", "No")</f>
        <v>Yes</v>
      </c>
      <c r="E20" s="78" t="str">
        <f>IF(E21&gt;0, "Yes", "No")</f>
        <v>Yes</v>
      </c>
      <c r="F20" s="78" t="str">
        <f t="shared" ref="F20:G20" si="2">IF(F21&gt;0, "Yes", "No")</f>
        <v>Yes</v>
      </c>
      <c r="G20" s="78" t="str">
        <f t="shared" si="2"/>
        <v>Yes</v>
      </c>
      <c r="H20" s="3"/>
      <c r="I20" s="3"/>
      <c r="J20" s="3"/>
      <c r="K20" s="118" t="e">
        <f>K15/D15</f>
        <v>#DIV/0!</v>
      </c>
      <c r="L20" s="119" t="e">
        <f>L15/D15</f>
        <v>#DIV/0!</v>
      </c>
      <c r="M20" s="117" t="e">
        <f>M15/D15</f>
        <v>#DIV/0!</v>
      </c>
      <c r="N20" s="120" t="e">
        <f>N15/D15</f>
        <v>#DIV/0!</v>
      </c>
      <c r="O20" s="83"/>
      <c r="P20" s="81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ht="19.5" customHeight="1" thickBot="1" x14ac:dyDescent="0.35">
      <c r="A21" s="46"/>
      <c r="B21" s="259" t="s">
        <v>43</v>
      </c>
      <c r="C21" s="46"/>
      <c r="D21" s="180">
        <f>K25+K32</f>
        <v>13050</v>
      </c>
      <c r="E21" s="181">
        <f>L25+L32</f>
        <v>28050</v>
      </c>
      <c r="F21" s="182">
        <f>M25+M32</f>
        <v>26950</v>
      </c>
      <c r="G21" s="132">
        <f>N25+N32</f>
        <v>35550</v>
      </c>
      <c r="H21" s="3"/>
      <c r="I21" s="3"/>
      <c r="J21" s="98" t="s">
        <v>16</v>
      </c>
      <c r="K21" s="31" t="s">
        <v>44</v>
      </c>
      <c r="L21" s="30"/>
      <c r="M21" s="107"/>
      <c r="N21" s="82"/>
      <c r="O21" s="83"/>
      <c r="P21" s="81"/>
      <c r="Q21" s="46" t="s">
        <v>43</v>
      </c>
      <c r="R21" s="46"/>
      <c r="S21" s="46"/>
      <c r="T21" s="46"/>
      <c r="U21" s="254">
        <v>0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ht="19.5" customHeight="1" x14ac:dyDescent="0.3">
      <c r="A22" s="46"/>
      <c r="B22" s="259" t="s">
        <v>45</v>
      </c>
      <c r="C22" s="46"/>
      <c r="D22" s="255">
        <f>D12-D21</f>
        <v>486950</v>
      </c>
      <c r="E22" s="256">
        <f>D12-E21</f>
        <v>471950</v>
      </c>
      <c r="F22" s="256">
        <f>D12-F21</f>
        <v>473050</v>
      </c>
      <c r="G22" s="257">
        <f>D12-G21</f>
        <v>464450</v>
      </c>
      <c r="H22" s="3"/>
      <c r="I22" s="3"/>
      <c r="J22" s="98"/>
      <c r="K22" s="31"/>
      <c r="L22" s="30"/>
      <c r="M22" s="107"/>
      <c r="N22" s="82"/>
      <c r="O22" s="83"/>
      <c r="P22" s="81"/>
      <c r="Q22" s="46" t="s">
        <v>45</v>
      </c>
      <c r="R22" s="46"/>
      <c r="S22" s="46"/>
      <c r="T22" s="46"/>
      <c r="U22" s="265">
        <f>D12-U21</f>
        <v>500000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0" ht="6" customHeight="1" x14ac:dyDescent="0.25">
      <c r="A23" s="46"/>
      <c r="B23" s="46"/>
      <c r="C23" s="64"/>
      <c r="D23" s="46"/>
      <c r="E23" s="46"/>
      <c r="F23" s="46"/>
      <c r="G23" s="13"/>
      <c r="H23" s="3"/>
      <c r="I23" s="3"/>
      <c r="J23" s="97"/>
      <c r="K23" s="29" t="s">
        <v>46</v>
      </c>
      <c r="L23" s="10"/>
      <c r="M23" s="25"/>
      <c r="N23" s="82"/>
      <c r="O23" s="83"/>
      <c r="P23" s="81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ht="18.75" customHeight="1" x14ac:dyDescent="0.3">
      <c r="A24" s="46"/>
      <c r="B24" s="47" t="s">
        <v>47</v>
      </c>
      <c r="C24" s="2"/>
      <c r="D24" s="46"/>
      <c r="E24" s="46"/>
      <c r="F24" s="46"/>
      <c r="G24" s="13"/>
      <c r="H24" s="3"/>
      <c r="I24" s="3"/>
      <c r="J24" s="2"/>
      <c r="K24" s="37" t="s">
        <v>48</v>
      </c>
      <c r="L24" s="37" t="s">
        <v>49</v>
      </c>
      <c r="M24" s="122" t="s">
        <v>50</v>
      </c>
      <c r="N24" s="121" t="s">
        <v>51</v>
      </c>
      <c r="O24" s="83"/>
      <c r="P24" s="81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ht="18.75" customHeight="1" x14ac:dyDescent="0.3">
      <c r="A25" s="46"/>
      <c r="B25" s="249" t="s">
        <v>52</v>
      </c>
      <c r="C25" s="2"/>
      <c r="D25" s="76" t="s">
        <v>33</v>
      </c>
      <c r="E25" s="77" t="s">
        <v>34</v>
      </c>
      <c r="F25" s="76" t="s">
        <v>53</v>
      </c>
      <c r="G25" s="65" t="s">
        <v>36</v>
      </c>
      <c r="H25" s="92"/>
      <c r="I25" s="92"/>
      <c r="J25" s="99" t="s">
        <v>54</v>
      </c>
      <c r="K25" s="35">
        <f>IF(OR(D52&gt;"0",D52&gt;0), D52,"0")</f>
        <v>13050</v>
      </c>
      <c r="L25" s="35">
        <f>IF(OR(E52&gt;"0",E52&gt;0), E52,"0")</f>
        <v>28050</v>
      </c>
      <c r="M25" s="35">
        <f>IF(OR(F52&gt;"0",F52&gt;0), F52,"0")</f>
        <v>26950</v>
      </c>
      <c r="N25" s="35">
        <f>IF(OR(G52&gt;"0",G52&gt;0), G52,"0")</f>
        <v>35550</v>
      </c>
      <c r="O25" s="83"/>
      <c r="P25" s="81"/>
      <c r="Q25" s="46" t="s">
        <v>55</v>
      </c>
      <c r="R25" s="46"/>
      <c r="S25" s="262"/>
      <c r="T25" s="46"/>
      <c r="U25" s="46" t="e" cm="1">
        <f t="array" ref="U25">PMT</f>
        <v>#NAME?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ht="22.5" hidden="1" x14ac:dyDescent="0.45">
      <c r="A26" s="46"/>
      <c r="B26" s="152" t="s">
        <v>39</v>
      </c>
      <c r="C26" s="2"/>
      <c r="D26" s="75" t="str">
        <f>IF(D12&lt;250000, "Yes", "No")</f>
        <v>No</v>
      </c>
      <c r="E26" s="75" t="str">
        <f>IF(D12&lt;250000, "Yes", "No")</f>
        <v>No</v>
      </c>
      <c r="F26" s="75"/>
      <c r="G26" s="94"/>
      <c r="H26" s="3"/>
      <c r="I26" s="3"/>
      <c r="J26" s="100">
        <f>(D14*0.5)</f>
        <v>46000</v>
      </c>
      <c r="K26" s="41" t="s">
        <v>56</v>
      </c>
      <c r="L26" s="36"/>
      <c r="M26" s="107"/>
      <c r="N26" s="82"/>
      <c r="O26" s="83"/>
      <c r="P26" s="81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ht="18.75" customHeight="1" x14ac:dyDescent="0.25">
      <c r="A27" s="46"/>
      <c r="B27" s="179" t="s">
        <v>57</v>
      </c>
      <c r="C27" s="2"/>
      <c r="D27" s="218">
        <f>D12/24</f>
        <v>20833.333333333332</v>
      </c>
      <c r="E27" s="216">
        <f>D12/36</f>
        <v>13888.888888888889</v>
      </c>
      <c r="F27" s="215">
        <f>PMT(F56/12,F57,-D12)</f>
        <v>10845.379771634694</v>
      </c>
      <c r="G27" s="217">
        <f>PMT(G56/12,G57,-D12)</f>
        <v>8761.692828591591</v>
      </c>
      <c r="H27" s="3"/>
      <c r="I27" s="3"/>
      <c r="J27" s="100"/>
      <c r="K27" s="31" t="s">
        <v>58</v>
      </c>
      <c r="L27" s="17"/>
      <c r="M27" s="106"/>
      <c r="N27" s="82"/>
      <c r="O27" s="83"/>
      <c r="P27" s="81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ht="18.75" customHeight="1" x14ac:dyDescent="0.25">
      <c r="A28" s="46"/>
      <c r="B28" s="179" t="s">
        <v>59</v>
      </c>
      <c r="C28" s="2"/>
      <c r="D28" s="218">
        <f>D10/12</f>
        <v>13000</v>
      </c>
      <c r="E28" s="219">
        <f>D10/12</f>
        <v>13000</v>
      </c>
      <c r="F28" s="218">
        <f>D10/12</f>
        <v>13000</v>
      </c>
      <c r="G28" s="220">
        <f>D10/12</f>
        <v>13000</v>
      </c>
      <c r="H28" s="3"/>
      <c r="I28" s="3"/>
      <c r="J28" s="100"/>
      <c r="K28" s="199"/>
      <c r="L28" s="3"/>
      <c r="M28" s="3"/>
      <c r="N28" s="86"/>
      <c r="O28" s="87"/>
      <c r="P28" s="81"/>
      <c r="Q28" s="46" t="s">
        <v>60</v>
      </c>
      <c r="R28" s="275">
        <f t="shared" ref="R28:S28" si="3">MIN(K15,K17)</f>
        <v>46000</v>
      </c>
      <c r="S28" s="275">
        <f t="shared" si="3"/>
        <v>46000</v>
      </c>
      <c r="T28" s="275">
        <f>MIN(M15,M17)</f>
        <v>46000</v>
      </c>
      <c r="U28" s="275">
        <f>MIN(N15,N17)</f>
        <v>46000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ht="18.75" customHeight="1" x14ac:dyDescent="0.25">
      <c r="A29" s="46"/>
      <c r="B29" s="179" t="s">
        <v>61</v>
      </c>
      <c r="C29" s="2"/>
      <c r="D29" s="212">
        <f>D28-D27</f>
        <v>-7833.3333333333321</v>
      </c>
      <c r="E29" s="213">
        <f>E28-E27</f>
        <v>-888.88888888888869</v>
      </c>
      <c r="F29" s="212">
        <f>F28-F27</f>
        <v>2154.6202283653056</v>
      </c>
      <c r="G29" s="214">
        <f>G28-G27</f>
        <v>4238.307171408409</v>
      </c>
      <c r="H29" s="3"/>
      <c r="I29" s="3"/>
      <c r="J29" s="100"/>
      <c r="K29" s="199"/>
      <c r="L29" s="3"/>
      <c r="M29" s="3"/>
      <c r="N29" s="86"/>
      <c r="O29" s="87"/>
      <c r="P29" s="81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ht="7.5" customHeight="1" x14ac:dyDescent="0.25">
      <c r="A30" s="46"/>
      <c r="B30" s="231"/>
      <c r="C30" s="2"/>
      <c r="D30" s="234"/>
      <c r="E30" s="232"/>
      <c r="F30" s="232"/>
      <c r="G30" s="233"/>
      <c r="H30" s="3"/>
      <c r="I30" s="3"/>
      <c r="J30" s="100"/>
      <c r="K30" s="199"/>
      <c r="L30" s="3"/>
      <c r="M30" s="3"/>
      <c r="N30" s="86"/>
      <c r="O30" s="87"/>
      <c r="P30" s="81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ht="23.25" x14ac:dyDescent="0.35">
      <c r="A31" s="46"/>
      <c r="B31" s="224" t="s">
        <v>62</v>
      </c>
      <c r="C31" s="137"/>
      <c r="D31" s="322" t="s">
        <v>63</v>
      </c>
      <c r="E31" s="323"/>
      <c r="F31" s="323"/>
      <c r="G31" s="324"/>
      <c r="H31" s="13"/>
      <c r="I31" s="13"/>
      <c r="J31" s="101" t="s">
        <v>48</v>
      </c>
      <c r="K31" s="37" t="s">
        <v>48</v>
      </c>
      <c r="L31" s="123" t="s">
        <v>49</v>
      </c>
      <c r="M31" s="125"/>
      <c r="N31" s="126"/>
      <c r="O31" s="81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ht="23.25" x14ac:dyDescent="0.35">
      <c r="A32" s="46"/>
      <c r="B32" s="225"/>
      <c r="C32" s="138"/>
      <c r="D32" s="325" t="s">
        <v>11</v>
      </c>
      <c r="E32" s="326"/>
      <c r="F32" s="327" t="s">
        <v>12</v>
      </c>
      <c r="G32" s="328"/>
      <c r="H32" s="69"/>
      <c r="I32" s="69"/>
      <c r="J32" s="46"/>
      <c r="K32" s="40" t="str">
        <f>IF(OR(D53&gt;"0",D53&gt;0),D54, "0")</f>
        <v>0</v>
      </c>
      <c r="L32" s="124" t="str">
        <f>IF(OR(D53&gt;"0",D53&gt;0),E54, "0")</f>
        <v>0</v>
      </c>
      <c r="M32" s="124" t="str">
        <f>IF(OR(D53&gt;"0",D53&gt;0),F54, "0")</f>
        <v>0</v>
      </c>
      <c r="N32" s="40" t="str">
        <f>IF(OR(ED9&gt;"0",D53&gt;0),G54, "0")</f>
        <v>0</v>
      </c>
      <c r="O32" s="81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4" ht="9" customHeight="1" x14ac:dyDescent="0.35">
      <c r="A33" s="46"/>
      <c r="B33" s="225"/>
      <c r="C33" s="229"/>
      <c r="D33" s="226"/>
      <c r="E33" s="226"/>
      <c r="F33" s="92"/>
      <c r="G33" s="92"/>
      <c r="H33" s="69"/>
      <c r="I33" s="69"/>
      <c r="J33" s="46"/>
      <c r="K33" s="227"/>
      <c r="L33" s="227"/>
      <c r="M33" s="228"/>
      <c r="N33" s="228"/>
      <c r="O33" s="81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4" ht="11.25" customHeight="1" x14ac:dyDescent="0.25">
      <c r="A34" s="46"/>
      <c r="B34" s="315" t="s">
        <v>64</v>
      </c>
      <c r="C34" s="315"/>
      <c r="D34" s="315"/>
      <c r="E34" s="315"/>
      <c r="F34" s="315"/>
      <c r="G34" s="315"/>
      <c r="H34" s="69"/>
      <c r="I34" s="69"/>
      <c r="J34" s="46"/>
      <c r="K34" s="227"/>
      <c r="L34" s="227"/>
      <c r="M34" s="228"/>
      <c r="N34" s="228"/>
      <c r="O34" s="81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4" ht="11.25" customHeight="1" x14ac:dyDescent="0.25">
      <c r="A35" s="46"/>
      <c r="B35" s="315" t="s">
        <v>124</v>
      </c>
      <c r="C35" s="315"/>
      <c r="D35" s="315"/>
      <c r="E35" s="315"/>
      <c r="F35" s="315"/>
      <c r="G35" s="315"/>
      <c r="H35" s="69"/>
      <c r="I35" s="69"/>
      <c r="J35" s="46"/>
      <c r="K35" s="227"/>
      <c r="L35" s="227"/>
      <c r="M35" s="228"/>
      <c r="N35" s="228"/>
      <c r="O35" s="81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4" ht="12" customHeight="1" x14ac:dyDescent="0.25">
      <c r="A36" s="46"/>
      <c r="B36" s="316" t="s">
        <v>65</v>
      </c>
      <c r="C36" s="316"/>
      <c r="D36" s="316"/>
      <c r="E36" s="316"/>
      <c r="F36" s="316"/>
      <c r="G36" s="316"/>
      <c r="H36" s="69"/>
      <c r="I36" s="69"/>
      <c r="J36" s="46"/>
      <c r="K36" s="42" t="s">
        <v>66</v>
      </c>
      <c r="L36" s="42"/>
      <c r="M36" s="82"/>
      <c r="N36" s="83"/>
      <c r="O36" s="81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4" ht="3" customHeight="1" x14ac:dyDescent="0.25">
      <c r="A37" s="46"/>
      <c r="B37" s="263"/>
      <c r="C37" s="263"/>
      <c r="D37" s="263"/>
      <c r="E37" s="263"/>
      <c r="F37" s="263"/>
      <c r="G37" s="263"/>
      <c r="H37" s="69"/>
      <c r="I37" s="69"/>
      <c r="J37" s="46"/>
      <c r="K37" s="264"/>
      <c r="L37" s="264"/>
      <c r="M37" s="82"/>
      <c r="N37" s="83"/>
      <c r="O37" s="81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4" ht="3.75" customHeight="1" x14ac:dyDescent="0.3">
      <c r="A38" s="46"/>
      <c r="B38" s="309" t="s">
        <v>67</v>
      </c>
      <c r="C38" s="58"/>
      <c r="D38" s="46"/>
      <c r="E38" s="46"/>
      <c r="F38" s="46"/>
      <c r="G38" s="46"/>
      <c r="H38" s="70"/>
      <c r="I38" s="70"/>
      <c r="J38" s="46"/>
      <c r="K38" s="319"/>
      <c r="L38" s="319"/>
      <c r="M38" s="82"/>
      <c r="N38" s="83"/>
      <c r="O38" s="81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4" ht="15.75" hidden="1" x14ac:dyDescent="0.25">
      <c r="A39" s="46"/>
      <c r="B39" s="46" t="s">
        <v>68</v>
      </c>
      <c r="C39" s="138"/>
      <c r="D39" s="177">
        <v>808168.43</v>
      </c>
      <c r="E39" s="46"/>
      <c r="F39" s="46"/>
      <c r="G39" s="46"/>
      <c r="H39" s="70"/>
      <c r="I39" s="70"/>
      <c r="J39" s="46"/>
      <c r="K39" s="139"/>
      <c r="L39" s="139"/>
      <c r="M39" s="82"/>
      <c r="N39" s="83"/>
      <c r="O39" s="81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4" ht="15.75" hidden="1" x14ac:dyDescent="0.25">
      <c r="A40" s="46"/>
      <c r="B40" s="46" t="s">
        <v>69</v>
      </c>
      <c r="C40" s="46"/>
      <c r="D40" s="178">
        <v>36</v>
      </c>
      <c r="E40" s="46"/>
      <c r="F40" s="46"/>
      <c r="G40" s="46"/>
      <c r="H40" s="71"/>
      <c r="I40" s="71"/>
      <c r="J40" s="46"/>
      <c r="K40" s="329"/>
      <c r="L40" s="329"/>
      <c r="M40" s="82"/>
      <c r="N40" s="83"/>
      <c r="O40" s="81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4" ht="15.75" hidden="1" x14ac:dyDescent="0.25">
      <c r="A41" s="46"/>
      <c r="B41" s="46" t="s">
        <v>16</v>
      </c>
      <c r="C41" s="46"/>
      <c r="D41" s="177">
        <f>D39-D43</f>
        <v>678168.43</v>
      </c>
      <c r="E41" s="46"/>
      <c r="F41" s="46"/>
      <c r="G41" s="46"/>
      <c r="H41" s="71"/>
      <c r="I41" s="71"/>
      <c r="J41" s="46"/>
      <c r="K41" s="329"/>
      <c r="L41" s="329"/>
      <c r="M41" s="82"/>
      <c r="N41" s="83"/>
      <c r="O41" s="81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4" ht="15.75" hidden="1" x14ac:dyDescent="0.25">
      <c r="A42" s="46"/>
      <c r="B42" s="46" t="s">
        <v>70</v>
      </c>
      <c r="C42" s="137"/>
      <c r="D42" s="159" cm="1">
        <f t="array" ref="D42">_xlfn.IFS(D40=24,K50,D40=36,L50,D40=48,M50,D40=60,N50)</f>
        <v>841094.82981218456</v>
      </c>
      <c r="E42" s="46"/>
      <c r="F42" s="46"/>
      <c r="G42" s="46"/>
      <c r="H42" s="14"/>
      <c r="I42" s="14"/>
      <c r="J42" s="21"/>
      <c r="K42" s="330"/>
      <c r="L42" s="330"/>
      <c r="M42" s="82"/>
      <c r="N42" s="83"/>
      <c r="O42" s="81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44" ht="15.75" hidden="1" x14ac:dyDescent="0.25">
      <c r="A43" s="46"/>
      <c r="B43" s="46" t="s">
        <v>10</v>
      </c>
      <c r="C43" s="137"/>
      <c r="D43" s="158">
        <f>D9</f>
        <v>130000</v>
      </c>
      <c r="E43" s="46"/>
      <c r="F43" s="46"/>
      <c r="G43" s="46"/>
      <c r="H43" s="21"/>
      <c r="I43" s="21"/>
      <c r="J43" s="21"/>
      <c r="K43" s="21"/>
      <c r="L43" s="25"/>
      <c r="M43" s="82"/>
      <c r="N43" s="83"/>
      <c r="O43" s="81"/>
      <c r="P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</row>
    <row r="44" spans="1:44" ht="15.75" hidden="1" x14ac:dyDescent="0.25">
      <c r="A44" s="46"/>
      <c r="B44" s="22" t="s">
        <v>71</v>
      </c>
      <c r="C44" s="58"/>
      <c r="D44" s="151">
        <f>D39</f>
        <v>808168.43</v>
      </c>
      <c r="E44" s="46"/>
      <c r="F44" s="46"/>
      <c r="G44" s="14"/>
      <c r="H44" s="17"/>
      <c r="I44" s="17"/>
      <c r="J44" s="21"/>
      <c r="K44" s="21"/>
      <c r="L44" s="21"/>
      <c r="M44" s="25"/>
      <c r="N44" s="84"/>
      <c r="O44" s="85"/>
      <c r="P44" s="81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  <row r="45" spans="1:44" hidden="1" x14ac:dyDescent="0.25">
      <c r="A45" s="46"/>
      <c r="B45" s="22"/>
      <c r="C45" s="57"/>
      <c r="D45" s="46"/>
      <c r="E45" s="12"/>
      <c r="F45" s="12"/>
      <c r="G45" s="21"/>
      <c r="H45" s="18"/>
      <c r="I45" s="18"/>
      <c r="J45" s="21"/>
      <c r="K45" s="21"/>
      <c r="L45" s="21"/>
      <c r="M45" s="25"/>
      <c r="N45" s="82"/>
      <c r="O45" s="83"/>
      <c r="P45" s="81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</row>
    <row r="46" spans="1:44" hidden="1" x14ac:dyDescent="0.25">
      <c r="A46" s="46"/>
      <c r="B46" s="10"/>
      <c r="C46" s="10"/>
      <c r="D46" s="208">
        <v>11.81</v>
      </c>
      <c r="E46" s="209">
        <v>14.81</v>
      </c>
      <c r="F46" s="210">
        <v>14.59</v>
      </c>
      <c r="G46" s="210">
        <v>16.309999999999999</v>
      </c>
      <c r="H46" s="17"/>
      <c r="I46" s="17"/>
      <c r="J46" s="21"/>
      <c r="K46" s="21"/>
      <c r="L46" s="21"/>
      <c r="M46" s="25"/>
      <c r="N46" s="82"/>
      <c r="O46" s="83"/>
      <c r="P46" s="81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  <row r="47" spans="1:44" hidden="1" x14ac:dyDescent="0.25">
      <c r="B47" s="10"/>
      <c r="C47" s="10"/>
      <c r="D47" s="211">
        <f t="shared" ref="D47:F47" si="4">100-D46</f>
        <v>88.19</v>
      </c>
      <c r="E47" s="211">
        <f t="shared" si="4"/>
        <v>85.19</v>
      </c>
      <c r="F47" s="211">
        <f t="shared" si="4"/>
        <v>85.41</v>
      </c>
      <c r="G47" s="211">
        <f>100-G46</f>
        <v>83.69</v>
      </c>
      <c r="H47" s="17"/>
      <c r="I47" s="17"/>
      <c r="J47" s="21"/>
      <c r="K47" s="21"/>
      <c r="L47" s="21"/>
      <c r="M47" s="25"/>
      <c r="N47" s="82"/>
      <c r="O47" s="83"/>
      <c r="P47" s="81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</row>
    <row r="48" spans="1:44" hidden="1" x14ac:dyDescent="0.25">
      <c r="B48" s="10"/>
      <c r="C48" s="10"/>
      <c r="D48" s="19"/>
      <c r="E48" s="19"/>
      <c r="F48" s="90"/>
      <c r="G48" s="17"/>
      <c r="H48" s="17"/>
      <c r="I48" s="17"/>
      <c r="J48" s="21" t="s">
        <v>72</v>
      </c>
      <c r="K48" s="161">
        <f>D39</f>
        <v>808168.43</v>
      </c>
      <c r="L48" s="161">
        <f>D39</f>
        <v>808168.43</v>
      </c>
      <c r="M48" s="163">
        <f>D39</f>
        <v>808168.43</v>
      </c>
      <c r="N48" s="166">
        <f>D39</f>
        <v>808168.43</v>
      </c>
      <c r="O48" s="83"/>
      <c r="P48" s="81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</row>
    <row r="49" spans="2:40" hidden="1" x14ac:dyDescent="0.25">
      <c r="B49" s="10"/>
      <c r="C49" s="10"/>
      <c r="D49" s="19"/>
      <c r="E49" s="10"/>
      <c r="F49" s="6"/>
      <c r="G49" s="17"/>
      <c r="H49" s="17"/>
      <c r="I49" s="17"/>
      <c r="J49" s="21" t="s">
        <v>73</v>
      </c>
      <c r="K49" s="174">
        <v>0.88190000000000002</v>
      </c>
      <c r="L49" s="174">
        <v>0.85189999999999999</v>
      </c>
      <c r="M49" s="175">
        <v>0.85409999999999997</v>
      </c>
      <c r="N49" s="176">
        <v>0.83689999999999998</v>
      </c>
      <c r="O49" s="83"/>
      <c r="P49" s="81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  <row r="50" spans="2:40" hidden="1" x14ac:dyDescent="0.25">
      <c r="B50" s="10"/>
      <c r="C50" s="10"/>
      <c r="D50" s="10"/>
      <c r="E50" s="10"/>
      <c r="F50" s="6"/>
      <c r="G50" s="17"/>
      <c r="H50" s="17"/>
      <c r="I50" s="17"/>
      <c r="J50" s="21" t="s">
        <v>74</v>
      </c>
      <c r="K50" s="164">
        <f>(D21/K49)+K48</f>
        <v>822966.02609933109</v>
      </c>
      <c r="L50" s="164">
        <f>(E21/L49)+L48</f>
        <v>841094.82981218456</v>
      </c>
      <c r="M50" s="165">
        <f>(F21/M49)+M48</f>
        <v>839722.11223861377</v>
      </c>
      <c r="N50" s="166">
        <f>(G21/N49)+N48</f>
        <v>850646.62333253678</v>
      </c>
      <c r="O50" s="83"/>
      <c r="P50" s="81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2:40" hidden="1" x14ac:dyDescent="0.25">
      <c r="B51" s="10"/>
      <c r="C51" s="10"/>
      <c r="D51" s="32">
        <f>K15-D9</f>
        <v>-70950</v>
      </c>
      <c r="E51" s="33">
        <f>L15-D9</f>
        <v>-55950</v>
      </c>
      <c r="F51" s="93"/>
      <c r="G51" s="17"/>
      <c r="H51" s="17"/>
      <c r="I51" s="17"/>
      <c r="J51" s="21"/>
      <c r="K51" s="174">
        <v>0.1181</v>
      </c>
      <c r="L51" s="186">
        <v>0.14810000000000001</v>
      </c>
      <c r="M51" s="187">
        <v>0.1459</v>
      </c>
      <c r="N51" s="188">
        <v>0.16309999999999999</v>
      </c>
      <c r="O51" s="83"/>
      <c r="P51" s="81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2:40" hidden="1" x14ac:dyDescent="0.25">
      <c r="B52" s="10"/>
      <c r="C52" s="10"/>
      <c r="D52" s="33">
        <f>K15-J26</f>
        <v>13050</v>
      </c>
      <c r="E52" s="33">
        <f>L15-J26</f>
        <v>28050</v>
      </c>
      <c r="F52" s="133">
        <f>M15-J26</f>
        <v>26950</v>
      </c>
      <c r="G52" s="134">
        <f>N15-J26</f>
        <v>35550</v>
      </c>
      <c r="H52" s="17"/>
      <c r="I52" s="17"/>
      <c r="J52" s="21"/>
      <c r="K52" s="21">
        <f>D21/(1+K51)</f>
        <v>11671.585725784813</v>
      </c>
      <c r="L52" s="21"/>
      <c r="M52" s="25"/>
      <c r="N52" s="84"/>
      <c r="O52" s="85"/>
      <c r="P52" s="81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2:40" hidden="1" x14ac:dyDescent="0.25">
      <c r="B53" s="10"/>
      <c r="C53" s="10"/>
      <c r="D53" s="33"/>
      <c r="E53" s="33"/>
      <c r="F53" s="93"/>
      <c r="G53" s="17"/>
      <c r="H53" s="17"/>
      <c r="I53" s="17"/>
      <c r="J53" s="21"/>
      <c r="K53" s="21"/>
      <c r="L53" s="21"/>
      <c r="M53" s="21"/>
      <c r="N53" s="86"/>
      <c r="O53" s="87"/>
      <c r="P53" s="81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2:40" hidden="1" x14ac:dyDescent="0.25">
      <c r="B54" s="10"/>
      <c r="C54" s="10"/>
      <c r="D54" s="33">
        <f>D53*0.1181</f>
        <v>0</v>
      </c>
      <c r="E54" s="33">
        <f>D53*0.1481</f>
        <v>0</v>
      </c>
      <c r="F54" s="93">
        <f>D53*0.1459</f>
        <v>0</v>
      </c>
      <c r="G54" s="135">
        <f>D53*0.1631</f>
        <v>0</v>
      </c>
      <c r="H54" s="17"/>
      <c r="I54" s="17"/>
      <c r="J54" s="21"/>
      <c r="K54" s="21"/>
      <c r="L54" s="21"/>
      <c r="M54" s="21"/>
      <c r="N54" s="86"/>
      <c r="O54" s="87"/>
      <c r="P54" s="81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5" spans="2:40" hidden="1" x14ac:dyDescent="0.25">
      <c r="B55" s="10"/>
      <c r="C55" s="10"/>
      <c r="D55" s="10"/>
      <c r="E55" s="10"/>
      <c r="F55" s="6"/>
      <c r="G55" s="17"/>
      <c r="H55" s="17"/>
      <c r="I55" s="17"/>
      <c r="J55" s="21"/>
      <c r="K55" s="21"/>
      <c r="L55" s="21"/>
      <c r="M55" s="21"/>
      <c r="N55" s="86"/>
      <c r="O55" s="87"/>
      <c r="P55" s="81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2:40" ht="9.75" hidden="1" customHeight="1" x14ac:dyDescent="0.25">
      <c r="B56" s="10"/>
      <c r="C56" s="10"/>
      <c r="D56" s="10"/>
      <c r="E56" s="127"/>
      <c r="F56" s="128">
        <v>1.9900000000000001E-2</v>
      </c>
      <c r="G56" s="131">
        <v>1.9900000000000001E-2</v>
      </c>
      <c r="H56" s="17"/>
      <c r="I56" s="17"/>
      <c r="J56" s="21"/>
      <c r="K56" s="21"/>
      <c r="L56" s="21"/>
      <c r="M56" s="21"/>
      <c r="N56" s="86"/>
      <c r="O56" s="87"/>
      <c r="P56" s="81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2:40" ht="3" hidden="1" customHeight="1" x14ac:dyDescent="0.25">
      <c r="B57" s="10"/>
      <c r="C57" s="10"/>
      <c r="D57" s="10">
        <v>24</v>
      </c>
      <c r="E57" s="10">
        <v>36</v>
      </c>
      <c r="F57" s="6">
        <v>48</v>
      </c>
      <c r="G57" s="17">
        <v>60</v>
      </c>
      <c r="H57" s="3"/>
      <c r="I57" s="3"/>
      <c r="J57" s="3"/>
      <c r="K57" s="3"/>
      <c r="L57" s="3"/>
      <c r="M57" s="3"/>
      <c r="N57" s="86"/>
      <c r="O57" s="87"/>
      <c r="P57" s="81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2:40" hidden="1" x14ac:dyDescent="0.25">
      <c r="B58" s="10"/>
      <c r="C58" s="10"/>
      <c r="D58" s="10"/>
      <c r="E58" s="10"/>
      <c r="F58" s="6"/>
      <c r="G58" s="17"/>
      <c r="H58" s="3"/>
      <c r="I58" s="3"/>
      <c r="J58" s="3"/>
      <c r="K58" s="3"/>
      <c r="L58" s="3"/>
      <c r="M58" s="3"/>
      <c r="N58" s="86"/>
      <c r="O58" s="87"/>
      <c r="P58" s="81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2:40" hidden="1" x14ac:dyDescent="0.25">
      <c r="B59" s="10"/>
      <c r="C59" s="19"/>
      <c r="D59" s="10"/>
      <c r="E59" s="10"/>
      <c r="F59" s="136"/>
      <c r="G59" s="17"/>
      <c r="H59" s="3"/>
      <c r="I59" s="3"/>
      <c r="J59" s="3"/>
      <c r="K59" s="3"/>
      <c r="L59" s="3"/>
      <c r="M59" s="3"/>
      <c r="N59" s="86"/>
      <c r="O59" s="87"/>
      <c r="P59" s="81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2:40" hidden="1" x14ac:dyDescent="0.25">
      <c r="B60" s="10" t="s">
        <v>75</v>
      </c>
      <c r="C60" s="19"/>
      <c r="D60" s="190"/>
      <c r="E60" s="10"/>
      <c r="F60" s="136"/>
      <c r="G60" s="17"/>
      <c r="H60" s="3"/>
      <c r="I60" s="3"/>
      <c r="J60" s="3"/>
      <c r="K60" s="3"/>
      <c r="L60" s="3"/>
      <c r="M60" s="3"/>
      <c r="N60" s="86"/>
      <c r="O60" s="87"/>
      <c r="P60" s="81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2:40" hidden="1" x14ac:dyDescent="0.25">
      <c r="B61" s="10" t="s">
        <v>76</v>
      </c>
      <c r="C61" s="189"/>
      <c r="D61" s="196">
        <f>D39</f>
        <v>808168.43</v>
      </c>
      <c r="E61" s="8"/>
      <c r="F61" s="136"/>
      <c r="G61" s="17"/>
      <c r="H61" s="3"/>
      <c r="I61" s="3"/>
      <c r="J61" s="3"/>
      <c r="K61" s="3"/>
      <c r="L61" s="3"/>
      <c r="M61" s="3"/>
      <c r="N61" s="86"/>
      <c r="O61" s="87"/>
      <c r="P61" s="81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2:40" hidden="1" x14ac:dyDescent="0.25">
      <c r="B62" s="10" t="s">
        <v>10</v>
      </c>
      <c r="C62" s="189"/>
      <c r="D62" s="197">
        <f>D9</f>
        <v>130000</v>
      </c>
      <c r="E62" s="8"/>
      <c r="F62" s="136"/>
      <c r="G62" s="17"/>
      <c r="H62" s="3"/>
      <c r="I62" s="3"/>
      <c r="J62" s="3"/>
      <c r="K62" s="3"/>
      <c r="L62" s="3"/>
      <c r="M62" s="3"/>
      <c r="N62" s="86"/>
      <c r="O62" s="87"/>
      <c r="P62" s="81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</row>
    <row r="63" spans="2:40" hidden="1" x14ac:dyDescent="0.25">
      <c r="B63" s="10" t="s">
        <v>77</v>
      </c>
      <c r="C63" s="189"/>
      <c r="D63" s="193">
        <v>24</v>
      </c>
      <c r="E63" s="8"/>
      <c r="F63" s="136"/>
      <c r="G63" s="17"/>
      <c r="H63" s="3"/>
      <c r="I63" s="3"/>
      <c r="J63" s="3"/>
      <c r="K63" s="3"/>
      <c r="L63" s="3"/>
      <c r="M63" s="3"/>
      <c r="N63" s="86"/>
      <c r="O63" s="87"/>
      <c r="P63" s="81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</row>
    <row r="64" spans="2:40" hidden="1" x14ac:dyDescent="0.25">
      <c r="B64" s="10" t="s">
        <v>78</v>
      </c>
      <c r="C64" s="189"/>
      <c r="D64" s="198">
        <f>D15</f>
        <v>0</v>
      </c>
      <c r="E64" s="8"/>
      <c r="F64" s="136"/>
      <c r="G64" s="17"/>
      <c r="H64" s="3"/>
      <c r="I64" s="3"/>
      <c r="J64" s="3"/>
      <c r="K64" s="3"/>
      <c r="L64" s="3"/>
      <c r="M64" s="3"/>
      <c r="N64" s="86"/>
      <c r="O64" s="87"/>
      <c r="P64" s="81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</row>
    <row r="65" spans="1:40" hidden="1" x14ac:dyDescent="0.25">
      <c r="B65" s="22" t="s">
        <v>79</v>
      </c>
      <c r="C65" s="189"/>
      <c r="D65" s="193"/>
      <c r="E65" s="8"/>
      <c r="F65" s="136"/>
      <c r="G65" s="17"/>
      <c r="H65" s="3"/>
      <c r="I65" s="3"/>
      <c r="J65" s="3"/>
      <c r="K65" s="3"/>
      <c r="L65" s="3"/>
      <c r="M65" s="3"/>
      <c r="N65" s="86"/>
      <c r="O65" s="87"/>
      <c r="P65" s="81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</row>
    <row r="66" spans="1:40" hidden="1" x14ac:dyDescent="0.25">
      <c r="B66" s="22"/>
      <c r="C66" s="189"/>
      <c r="E66" s="8"/>
      <c r="F66" s="136"/>
      <c r="G66" s="17"/>
      <c r="H66" s="3"/>
      <c r="I66" s="3"/>
      <c r="J66" s="3"/>
      <c r="K66" s="3"/>
      <c r="L66" s="3"/>
      <c r="M66" s="3"/>
      <c r="N66" s="86"/>
      <c r="O66" s="87"/>
      <c r="P66" s="81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</row>
    <row r="67" spans="1:40" hidden="1" x14ac:dyDescent="0.25">
      <c r="B67" s="22" t="s">
        <v>80</v>
      </c>
      <c r="C67" s="189"/>
      <c r="D67" s="195">
        <f>D42</f>
        <v>841094.82981218456</v>
      </c>
      <c r="E67" s="8"/>
      <c r="F67" s="6"/>
      <c r="G67" s="17"/>
      <c r="H67" s="3"/>
      <c r="I67" s="3"/>
      <c r="J67" s="3"/>
      <c r="K67" s="3"/>
      <c r="L67" s="3"/>
      <c r="M67" s="3"/>
      <c r="N67" s="86"/>
      <c r="O67" s="87"/>
      <c r="P67" s="81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</row>
    <row r="68" spans="1:40" hidden="1" x14ac:dyDescent="0.25">
      <c r="B68" s="22" t="s">
        <v>10</v>
      </c>
      <c r="C68" s="189"/>
      <c r="D68" s="194">
        <f>D62</f>
        <v>130000</v>
      </c>
      <c r="E68" s="191"/>
      <c r="F68" s="90"/>
      <c r="G68" s="17"/>
      <c r="H68" s="3"/>
      <c r="I68" s="3"/>
      <c r="J68" s="3"/>
      <c r="K68" s="3"/>
      <c r="L68" s="3"/>
      <c r="M68" s="3"/>
      <c r="N68" s="86"/>
      <c r="O68" s="87"/>
      <c r="P68" s="81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</row>
    <row r="69" spans="1:40" hidden="1" x14ac:dyDescent="0.25">
      <c r="B69" s="22" t="s">
        <v>16</v>
      </c>
      <c r="C69" s="189"/>
      <c r="D69" s="170">
        <f>D67-D68</f>
        <v>711094.82981218456</v>
      </c>
      <c r="E69" s="191"/>
      <c r="F69" s="90"/>
      <c r="G69" s="17"/>
      <c r="H69" s="3"/>
      <c r="I69" s="3"/>
      <c r="J69" s="3"/>
      <c r="K69" s="3"/>
      <c r="L69" s="3"/>
      <c r="M69" s="3"/>
      <c r="N69" s="86"/>
      <c r="O69" s="87"/>
      <c r="P69" s="81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</row>
    <row r="70" spans="1:40" hidden="1" x14ac:dyDescent="0.25">
      <c r="B70" s="22" t="s">
        <v>43</v>
      </c>
      <c r="C70" s="189"/>
      <c r="D70" s="170"/>
      <c r="E70" s="191"/>
      <c r="F70" s="90"/>
      <c r="G70" s="17"/>
      <c r="H70" s="3"/>
      <c r="I70" s="3"/>
      <c r="J70" s="3"/>
      <c r="K70" s="3"/>
      <c r="L70" s="3"/>
      <c r="M70" s="3"/>
      <c r="N70" s="86"/>
      <c r="O70" s="87"/>
      <c r="P70" s="81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</row>
    <row r="71" spans="1:40" hidden="1" x14ac:dyDescent="0.25">
      <c r="B71" s="22" t="s">
        <v>81</v>
      </c>
      <c r="C71" s="189"/>
      <c r="D71" s="170"/>
      <c r="E71" s="191"/>
      <c r="F71" s="90"/>
      <c r="G71" s="17"/>
      <c r="J71" s="3"/>
      <c r="K71" s="3"/>
      <c r="L71" s="3"/>
      <c r="M71" s="3"/>
      <c r="N71" s="86"/>
      <c r="O71" s="87"/>
      <c r="P71" s="81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</row>
    <row r="72" spans="1:40" hidden="1" x14ac:dyDescent="0.25">
      <c r="B72" s="22"/>
      <c r="C72" s="10"/>
      <c r="D72" s="192"/>
      <c r="E72" s="19"/>
      <c r="F72" s="90"/>
      <c r="G72" s="17"/>
      <c r="H72" s="3"/>
      <c r="I72" s="3"/>
      <c r="J72" s="3"/>
      <c r="K72" s="3"/>
      <c r="L72" s="3"/>
      <c r="M72" s="3"/>
      <c r="N72" s="86"/>
      <c r="O72" s="87"/>
      <c r="P72" s="81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</row>
    <row r="73" spans="1:40" hidden="1" x14ac:dyDescent="0.25">
      <c r="B73" s="22" t="s">
        <v>82</v>
      </c>
      <c r="C73" s="43"/>
      <c r="D73" s="170" cm="1">
        <f t="array" ref="D73">_xlfn.IFS(D63=24,(D69/24),D63=36,D69/36)</f>
        <v>29628.951242174357</v>
      </c>
      <c r="E73" s="191"/>
      <c r="F73" s="90"/>
      <c r="G73" s="6"/>
      <c r="H73" s="21"/>
      <c r="I73" s="21"/>
      <c r="J73" s="10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</row>
    <row r="74" spans="1:40" ht="18.75" hidden="1" x14ac:dyDescent="0.25">
      <c r="B74" s="22" t="s">
        <v>83</v>
      </c>
      <c r="C74" s="43"/>
      <c r="D74" s="170"/>
      <c r="E74" s="191"/>
      <c r="F74" s="90"/>
      <c r="G74" s="17"/>
      <c r="H74" s="23"/>
      <c r="I74" s="23"/>
      <c r="J74" s="10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</row>
    <row r="75" spans="1:40" ht="12.75" hidden="1" customHeight="1" x14ac:dyDescent="0.25">
      <c r="B75" s="22" t="s">
        <v>84</v>
      </c>
      <c r="C75" s="43"/>
      <c r="H75" s="10"/>
      <c r="I75" s="10"/>
      <c r="J75" s="10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40" ht="8.25" hidden="1" customHeight="1" x14ac:dyDescent="0.3">
      <c r="B76" s="22"/>
      <c r="C76" s="10"/>
      <c r="D76" s="11"/>
      <c r="E76" s="19"/>
      <c r="F76" s="19"/>
      <c r="G76" s="23"/>
      <c r="H76" s="20"/>
      <c r="I76" s="20"/>
      <c r="J76" s="10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</row>
    <row r="77" spans="1:40" x14ac:dyDescent="0.25">
      <c r="B77" s="22"/>
      <c r="C77" s="10"/>
      <c r="D77" s="19"/>
      <c r="E77" s="19"/>
      <c r="F77" s="19"/>
      <c r="G77" s="10"/>
      <c r="H77" s="10"/>
      <c r="I77" s="10"/>
      <c r="J77" s="24"/>
      <c r="K77" s="87"/>
      <c r="L77" s="88"/>
      <c r="M77" s="86"/>
      <c r="N77" s="87"/>
      <c r="O77" s="88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</row>
    <row r="78" spans="1:40" ht="18.75" x14ac:dyDescent="0.3">
      <c r="A78" s="46"/>
      <c r="B78" s="10"/>
      <c r="C78" s="10"/>
      <c r="D78" s="19"/>
      <c r="E78" s="19"/>
      <c r="F78" s="19"/>
      <c r="G78" s="20"/>
      <c r="H78" s="10"/>
      <c r="I78" s="10"/>
      <c r="J78" s="10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</row>
    <row r="79" spans="1:40" x14ac:dyDescent="0.25">
      <c r="A79" s="46"/>
      <c r="B79" s="10"/>
      <c r="C79" s="10"/>
      <c r="D79" s="19"/>
      <c r="E79" s="19"/>
      <c r="F79" s="19"/>
      <c r="G79" s="10"/>
      <c r="H79" s="10"/>
      <c r="I79" s="10"/>
      <c r="J79" s="10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</row>
    <row r="80" spans="1:40" x14ac:dyDescent="0.25">
      <c r="A80" s="46"/>
      <c r="B80" s="10"/>
      <c r="C80" s="10"/>
      <c r="D80" s="19"/>
      <c r="E80" s="19"/>
      <c r="F80" s="19"/>
      <c r="G80" s="10"/>
      <c r="H80" s="10"/>
      <c r="I80" s="10"/>
      <c r="J80" s="10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</row>
    <row r="81" spans="1:40" x14ac:dyDescent="0.25">
      <c r="A81" s="46"/>
      <c r="B81" s="10"/>
      <c r="C81" s="10"/>
      <c r="D81" s="19"/>
      <c r="E81" s="10"/>
      <c r="F81" s="10"/>
      <c r="G81" s="10"/>
      <c r="H81" s="10"/>
      <c r="I81" s="10"/>
      <c r="J81" s="10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</row>
    <row r="82" spans="1:40" x14ac:dyDescent="0.25">
      <c r="A82" s="46"/>
      <c r="B82" s="10"/>
      <c r="C82" s="10"/>
      <c r="D82" s="10"/>
      <c r="E82" s="10"/>
      <c r="F82" s="10"/>
      <c r="G82" s="10"/>
      <c r="H82" s="10"/>
      <c r="I82" s="10"/>
      <c r="J82" s="10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</row>
    <row r="83" spans="1:40" x14ac:dyDescent="0.25">
      <c r="A83" s="46"/>
      <c r="B83" s="10"/>
      <c r="C83" s="10"/>
      <c r="D83" s="10"/>
      <c r="E83" s="10"/>
      <c r="F83" s="10"/>
      <c r="G83" s="10"/>
      <c r="H83" s="10"/>
      <c r="I83" s="10"/>
      <c r="J83" s="10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</row>
    <row r="84" spans="1:40" x14ac:dyDescent="0.25">
      <c r="A84" s="46"/>
      <c r="B84" s="10"/>
      <c r="C84" s="10"/>
      <c r="D84" s="10"/>
      <c r="E84" s="10"/>
      <c r="F84" s="10"/>
      <c r="G84" s="10"/>
      <c r="H84" s="10"/>
      <c r="I84" s="10"/>
      <c r="J84" s="10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</row>
    <row r="85" spans="1:40" x14ac:dyDescent="0.25">
      <c r="A85" s="46"/>
      <c r="B85" s="10"/>
      <c r="C85" s="10"/>
      <c r="D85" s="10"/>
      <c r="E85" s="10"/>
      <c r="F85" s="10"/>
      <c r="G85" s="10"/>
      <c r="H85" s="10"/>
      <c r="I85" s="10"/>
      <c r="J85" s="10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</row>
    <row r="86" spans="1:40" x14ac:dyDescent="0.25">
      <c r="A86" s="46"/>
      <c r="B86" s="10"/>
      <c r="C86" s="10"/>
      <c r="D86" s="10"/>
      <c r="E86" s="10"/>
      <c r="F86" s="10"/>
      <c r="G86" s="10"/>
      <c r="H86" s="10"/>
      <c r="I86" s="10"/>
      <c r="J86" s="10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</row>
    <row r="87" spans="1:40" x14ac:dyDescent="0.25">
      <c r="A87" s="46"/>
      <c r="B87" s="10"/>
      <c r="C87" s="10"/>
      <c r="D87" s="10"/>
      <c r="E87" s="10"/>
      <c r="F87" s="10"/>
      <c r="G87" s="10"/>
      <c r="H87" s="10"/>
      <c r="I87" s="10"/>
      <c r="J87" s="10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</row>
    <row r="88" spans="1:40" x14ac:dyDescent="0.25">
      <c r="A88" s="46"/>
      <c r="B88" s="10"/>
      <c r="C88" s="10"/>
      <c r="D88" s="10"/>
      <c r="E88" s="10"/>
      <c r="F88" s="10"/>
      <c r="G88" s="10"/>
      <c r="H88" s="10"/>
      <c r="I88" s="10"/>
      <c r="J88" s="10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</row>
    <row r="89" spans="1:40" x14ac:dyDescent="0.25">
      <c r="A89" s="46"/>
      <c r="B89" s="10"/>
      <c r="C89" s="10"/>
      <c r="D89" s="10"/>
      <c r="E89" s="10"/>
      <c r="F89" s="10"/>
      <c r="G89" s="10"/>
      <c r="H89" s="10"/>
      <c r="I89" s="10"/>
      <c r="J89" s="10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</row>
    <row r="90" spans="1:40" x14ac:dyDescent="0.25">
      <c r="A90" s="46"/>
      <c r="B90" s="10"/>
      <c r="C90" s="10"/>
      <c r="D90" s="10"/>
      <c r="E90" s="10"/>
      <c r="F90" s="10"/>
      <c r="G90" s="10"/>
      <c r="H90" s="10"/>
      <c r="I90" s="10"/>
      <c r="J90" s="10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</row>
    <row r="91" spans="1:40" x14ac:dyDescent="0.25">
      <c r="A91" s="46"/>
      <c r="B91" s="10"/>
      <c r="C91" s="10"/>
      <c r="D91" s="10"/>
      <c r="E91" s="10"/>
      <c r="F91" s="10"/>
      <c r="G91" s="10"/>
      <c r="H91" s="10"/>
      <c r="I91" s="10"/>
      <c r="J91" s="10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</row>
    <row r="92" spans="1:40" x14ac:dyDescent="0.25">
      <c r="A92" s="46"/>
      <c r="B92" s="10"/>
      <c r="C92" s="10"/>
      <c r="D92" s="10"/>
      <c r="E92" s="10"/>
      <c r="F92" s="10"/>
      <c r="G92" s="10"/>
      <c r="H92" s="10"/>
      <c r="I92" s="10"/>
      <c r="J92" s="10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</row>
    <row r="93" spans="1:40" x14ac:dyDescent="0.25">
      <c r="A93" s="46"/>
      <c r="B93" s="10"/>
      <c r="C93" s="10"/>
      <c r="D93" s="10"/>
      <c r="E93" s="10"/>
      <c r="F93" s="10"/>
      <c r="G93" s="10"/>
      <c r="H93" s="10"/>
      <c r="I93" s="10"/>
      <c r="J93" s="10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</row>
    <row r="94" spans="1:40" x14ac:dyDescent="0.25">
      <c r="A94" s="46"/>
      <c r="B94" s="10"/>
      <c r="C94" s="10"/>
      <c r="D94" s="10"/>
      <c r="E94" s="10"/>
      <c r="F94" s="10"/>
      <c r="G94" s="10"/>
      <c r="H94" s="10"/>
      <c r="I94" s="10"/>
      <c r="J94" s="10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</row>
    <row r="95" spans="1:40" x14ac:dyDescent="0.25">
      <c r="A95" s="46"/>
      <c r="B95" s="10"/>
      <c r="C95" s="10"/>
      <c r="D95" s="10"/>
      <c r="E95" s="10"/>
      <c r="F95" s="10"/>
      <c r="G95" s="10"/>
      <c r="H95" s="10"/>
      <c r="I95" s="10"/>
      <c r="J95" s="10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</row>
    <row r="96" spans="1:40" x14ac:dyDescent="0.25">
      <c r="A96" s="46"/>
      <c r="B96" s="10"/>
      <c r="C96" s="10"/>
      <c r="D96" s="10"/>
      <c r="E96" s="10"/>
      <c r="F96" s="10"/>
      <c r="G96" s="10"/>
      <c r="H96" s="10"/>
      <c r="I96" s="10"/>
      <c r="J96" s="10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</row>
    <row r="97" spans="1:40" x14ac:dyDescent="0.25">
      <c r="A97" s="46"/>
      <c r="B97" s="10"/>
      <c r="C97" s="10"/>
      <c r="D97" s="10"/>
      <c r="E97" s="10"/>
      <c r="F97" s="10"/>
      <c r="G97" s="10"/>
      <c r="H97" s="10"/>
      <c r="I97" s="10"/>
      <c r="J97" s="10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</row>
    <row r="98" spans="1:40" x14ac:dyDescent="0.25">
      <c r="A98" s="46"/>
      <c r="B98" s="10"/>
      <c r="C98" s="10"/>
      <c r="D98" s="10"/>
      <c r="E98" s="10"/>
      <c r="F98" s="10"/>
      <c r="G98" s="10"/>
      <c r="H98" s="10"/>
      <c r="I98" s="10"/>
      <c r="J98" s="10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</row>
    <row r="99" spans="1:40" x14ac:dyDescent="0.25">
      <c r="A99" s="46"/>
      <c r="B99" s="10"/>
      <c r="C99" s="10"/>
      <c r="D99" s="10"/>
      <c r="E99" s="10"/>
      <c r="F99" s="10"/>
      <c r="G99" s="10"/>
      <c r="H99" s="10"/>
      <c r="I99" s="10"/>
      <c r="J99" s="10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</row>
    <row r="100" spans="1:40" x14ac:dyDescent="0.25">
      <c r="A100" s="46"/>
      <c r="B100" s="10"/>
      <c r="C100" s="10"/>
      <c r="D100" s="10"/>
      <c r="E100" s="10"/>
      <c r="F100" s="10"/>
      <c r="G100" s="10"/>
      <c r="H100" s="10"/>
      <c r="I100" s="10"/>
      <c r="J100" s="10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</row>
    <row r="101" spans="1:40" x14ac:dyDescent="0.25">
      <c r="A101" s="46"/>
      <c r="B101" s="10"/>
      <c r="C101" s="10"/>
      <c r="D101" s="10"/>
      <c r="E101" s="10"/>
      <c r="F101" s="10"/>
      <c r="G101" s="10"/>
      <c r="H101" s="10"/>
      <c r="I101" s="10"/>
      <c r="J101" s="10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</row>
    <row r="102" spans="1:40" x14ac:dyDescent="0.25">
      <c r="A102" s="46"/>
      <c r="B102" s="10"/>
      <c r="C102" s="10"/>
      <c r="D102" s="10"/>
      <c r="E102" s="10"/>
      <c r="F102" s="10"/>
      <c r="G102" s="10"/>
      <c r="H102" s="10"/>
      <c r="I102" s="10"/>
      <c r="J102" s="10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</row>
    <row r="103" spans="1:40" x14ac:dyDescent="0.25">
      <c r="A103" s="46"/>
      <c r="B103" s="10"/>
      <c r="D103" s="10"/>
      <c r="E103" s="10"/>
      <c r="F103" s="10"/>
      <c r="G103" s="10"/>
      <c r="H103" s="10"/>
      <c r="I103" s="10"/>
      <c r="J103" s="10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</row>
    <row r="104" spans="1:40" x14ac:dyDescent="0.25">
      <c r="A104" s="46"/>
      <c r="B104" s="10"/>
      <c r="D104" s="10"/>
      <c r="E104" s="10"/>
      <c r="F104" s="10"/>
      <c r="G104" s="10"/>
      <c r="H104" s="10"/>
      <c r="I104" s="10"/>
      <c r="J104" s="10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0" x14ac:dyDescent="0.25">
      <c r="A105" s="46"/>
      <c r="B105" s="10"/>
      <c r="D105" s="10"/>
      <c r="E105" s="10"/>
      <c r="F105" s="10"/>
      <c r="G105" s="10"/>
      <c r="H105" s="15"/>
      <c r="I105" s="15"/>
      <c r="J105" s="10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</row>
    <row r="106" spans="1:40" x14ac:dyDescent="0.25">
      <c r="A106" s="46"/>
      <c r="B106" s="10"/>
      <c r="D106" s="10"/>
      <c r="E106" s="10"/>
      <c r="F106" s="10"/>
      <c r="G106" s="10"/>
      <c r="H106" s="15"/>
      <c r="I106" s="15"/>
      <c r="J106" s="10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</row>
    <row r="107" spans="1:40" x14ac:dyDescent="0.25">
      <c r="A107" s="46"/>
      <c r="B107" s="57"/>
      <c r="C107" s="46"/>
      <c r="D107" s="57"/>
      <c r="E107" s="57"/>
      <c r="F107" s="243"/>
      <c r="G107" s="243"/>
      <c r="H107" s="15"/>
      <c r="I107" s="15"/>
      <c r="J107" s="10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0" x14ac:dyDescent="0.25">
      <c r="A108" s="46"/>
      <c r="B108" s="57"/>
      <c r="C108" s="46"/>
      <c r="D108" s="57"/>
      <c r="E108" s="57"/>
      <c r="F108" s="243"/>
      <c r="G108" s="243"/>
      <c r="H108" s="15"/>
      <c r="I108" s="15"/>
      <c r="J108" s="10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</row>
    <row r="109" spans="1:40" x14ac:dyDescent="0.25">
      <c r="A109" s="46"/>
      <c r="B109" s="46"/>
      <c r="C109" s="46"/>
      <c r="D109" s="57"/>
      <c r="E109" s="57"/>
      <c r="F109" s="243"/>
      <c r="G109" s="243"/>
      <c r="H109" s="15"/>
      <c r="I109" s="15"/>
      <c r="J109" s="10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</row>
    <row r="110" spans="1:40" x14ac:dyDescent="0.25">
      <c r="A110" s="46"/>
      <c r="B110" s="46"/>
      <c r="C110" s="46"/>
      <c r="D110" s="57"/>
      <c r="E110" s="57"/>
      <c r="F110" s="243"/>
      <c r="G110" s="243"/>
      <c r="H110" s="15"/>
      <c r="I110" s="15"/>
      <c r="J110" s="10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</row>
    <row r="111" spans="1:40" x14ac:dyDescent="0.25">
      <c r="A111" s="46"/>
      <c r="B111" s="46"/>
      <c r="C111" s="46"/>
      <c r="D111" s="57"/>
      <c r="E111" s="57"/>
      <c r="F111" s="243"/>
      <c r="G111" s="243"/>
      <c r="H111" s="15"/>
      <c r="I111" s="15"/>
      <c r="J111" s="10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</row>
    <row r="112" spans="1:40" x14ac:dyDescent="0.25">
      <c r="A112" s="46"/>
      <c r="B112" s="46"/>
      <c r="C112" s="46"/>
      <c r="D112" s="57"/>
      <c r="E112" s="46"/>
      <c r="F112" s="46"/>
      <c r="G112" s="243"/>
      <c r="H112" s="15"/>
      <c r="I112" s="15"/>
      <c r="J112" s="10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</row>
    <row r="113" spans="1:40" x14ac:dyDescent="0.25">
      <c r="A113" s="46"/>
      <c r="B113" s="46"/>
      <c r="C113" s="46"/>
      <c r="D113" s="46"/>
      <c r="E113" s="46"/>
      <c r="F113" s="46"/>
      <c r="G113" s="243"/>
      <c r="H113" s="15"/>
      <c r="I113" s="15"/>
      <c r="J113" s="10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</row>
    <row r="114" spans="1:40" x14ac:dyDescent="0.25">
      <c r="A114" s="46"/>
      <c r="B114" s="46"/>
      <c r="C114" s="46"/>
      <c r="D114" s="46"/>
      <c r="E114" s="46"/>
      <c r="F114" s="46"/>
      <c r="G114" s="243"/>
      <c r="H114" s="15"/>
      <c r="I114" s="15"/>
      <c r="J114" s="10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</row>
    <row r="115" spans="1:40" x14ac:dyDescent="0.25">
      <c r="A115" s="46"/>
      <c r="B115" s="46"/>
      <c r="C115" s="46"/>
      <c r="D115" s="46"/>
      <c r="E115" s="46"/>
      <c r="F115" s="46"/>
      <c r="G115" s="243"/>
      <c r="H115" s="15"/>
      <c r="I115" s="15"/>
      <c r="J115" s="10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</row>
    <row r="116" spans="1:40" x14ac:dyDescent="0.25">
      <c r="A116" s="46"/>
      <c r="B116" s="46"/>
      <c r="C116" s="46"/>
      <c r="D116" s="46"/>
      <c r="E116" s="46"/>
      <c r="F116" s="46"/>
      <c r="G116" s="243"/>
      <c r="H116" s="15"/>
      <c r="I116" s="15"/>
      <c r="J116" s="10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</row>
    <row r="117" spans="1:40" x14ac:dyDescent="0.25">
      <c r="A117" s="46"/>
      <c r="B117" s="46"/>
      <c r="C117" s="46"/>
      <c r="D117" s="46"/>
      <c r="E117" s="46"/>
      <c r="F117" s="46"/>
      <c r="G117" s="243"/>
      <c r="H117" s="15"/>
      <c r="I117" s="15"/>
      <c r="J117" s="10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</row>
    <row r="118" spans="1:40" x14ac:dyDescent="0.25">
      <c r="A118" s="46"/>
      <c r="B118" s="46"/>
      <c r="C118" s="46"/>
      <c r="D118" s="46"/>
      <c r="E118" s="46"/>
      <c r="F118" s="46"/>
      <c r="G118" s="243"/>
      <c r="H118" s="15"/>
      <c r="I118" s="15"/>
      <c r="J118" s="10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</row>
    <row r="119" spans="1:40" x14ac:dyDescent="0.25">
      <c r="A119" s="46"/>
      <c r="B119" s="46"/>
      <c r="C119" s="46"/>
      <c r="D119" s="46"/>
      <c r="E119" s="46"/>
      <c r="F119" s="46"/>
      <c r="G119" s="243"/>
      <c r="H119" s="15"/>
      <c r="I119" s="15"/>
      <c r="J119" s="10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</row>
    <row r="120" spans="1:40" x14ac:dyDescent="0.25">
      <c r="A120" s="46"/>
      <c r="B120" s="46"/>
      <c r="C120" s="46"/>
      <c r="D120" s="46"/>
      <c r="E120" s="46"/>
      <c r="F120" s="46"/>
      <c r="G120" s="243"/>
      <c r="H120" s="15"/>
      <c r="I120" s="15"/>
      <c r="J120" s="10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</row>
    <row r="121" spans="1:40" x14ac:dyDescent="0.25">
      <c r="A121" s="46"/>
      <c r="B121" s="46"/>
      <c r="C121" s="46"/>
      <c r="D121" s="46"/>
      <c r="E121" s="46"/>
      <c r="F121" s="46"/>
      <c r="G121" s="243"/>
      <c r="H121" s="15"/>
      <c r="I121" s="15"/>
      <c r="J121" s="10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</row>
    <row r="122" spans="1:40" x14ac:dyDescent="0.25">
      <c r="A122" s="46"/>
      <c r="B122" s="46"/>
      <c r="C122" s="46"/>
      <c r="D122" s="46"/>
      <c r="E122" s="46"/>
      <c r="F122" s="46"/>
      <c r="G122" s="243"/>
      <c r="H122" s="15"/>
      <c r="I122" s="15"/>
      <c r="J122" s="10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</row>
    <row r="123" spans="1:40" x14ac:dyDescent="0.25">
      <c r="A123" s="46"/>
      <c r="B123" s="46"/>
      <c r="C123" s="46"/>
      <c r="D123" s="46"/>
      <c r="E123" s="46"/>
      <c r="F123" s="46"/>
      <c r="G123" s="243"/>
      <c r="H123" s="15"/>
      <c r="I123" s="15"/>
      <c r="J123" s="10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</row>
    <row r="124" spans="1:40" x14ac:dyDescent="0.25">
      <c r="A124" s="46"/>
      <c r="B124" s="46"/>
      <c r="C124" s="46"/>
      <c r="D124" s="46"/>
      <c r="E124" s="46"/>
      <c r="F124" s="46"/>
      <c r="G124" s="243"/>
      <c r="H124" s="15"/>
      <c r="I124" s="15"/>
      <c r="J124" s="10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</row>
    <row r="125" spans="1:40" x14ac:dyDescent="0.25">
      <c r="A125" s="46"/>
      <c r="B125" s="46"/>
      <c r="C125" s="46"/>
      <c r="D125" s="46"/>
      <c r="E125" s="46"/>
      <c r="F125" s="46"/>
      <c r="G125" s="243"/>
      <c r="H125" s="15"/>
      <c r="I125" s="15"/>
      <c r="J125" s="10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</row>
    <row r="126" spans="1:40" x14ac:dyDescent="0.25">
      <c r="A126" s="46"/>
      <c r="B126" s="46"/>
      <c r="C126" s="46"/>
      <c r="D126" s="46"/>
      <c r="E126" s="46"/>
      <c r="F126" s="46"/>
      <c r="G126" s="243"/>
      <c r="H126" s="15"/>
      <c r="I126" s="15"/>
      <c r="J126" s="10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</row>
    <row r="127" spans="1:40" x14ac:dyDescent="0.25">
      <c r="A127" s="46"/>
      <c r="B127" s="46"/>
      <c r="C127" s="46"/>
      <c r="D127" s="46"/>
      <c r="E127" s="46"/>
      <c r="F127" s="46"/>
      <c r="G127" s="243"/>
      <c r="H127" s="15"/>
      <c r="I127" s="15"/>
      <c r="J127" s="10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</row>
    <row r="128" spans="1:40" x14ac:dyDescent="0.25">
      <c r="A128" s="46"/>
      <c r="B128" s="46"/>
      <c r="C128" s="46"/>
      <c r="D128" s="46"/>
      <c r="E128" s="46"/>
      <c r="F128" s="46"/>
      <c r="G128" s="243"/>
      <c r="H128" s="15"/>
      <c r="I128" s="15"/>
      <c r="J128" s="10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</row>
    <row r="129" spans="1:40" x14ac:dyDescent="0.25">
      <c r="A129" s="46"/>
      <c r="B129" s="46"/>
      <c r="C129" s="46"/>
      <c r="D129" s="46"/>
      <c r="E129" s="46"/>
      <c r="F129" s="46"/>
      <c r="G129" s="243"/>
      <c r="H129" s="15"/>
      <c r="I129" s="15"/>
      <c r="J129" s="10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</row>
    <row r="130" spans="1:40" x14ac:dyDescent="0.25">
      <c r="G130" s="15"/>
      <c r="H130" s="15"/>
      <c r="I130" s="15"/>
      <c r="J130" s="10"/>
    </row>
    <row r="131" spans="1:40" x14ac:dyDescent="0.25">
      <c r="G131" s="15"/>
      <c r="H131" s="15"/>
      <c r="I131" s="15"/>
      <c r="J131" s="10"/>
    </row>
    <row r="132" spans="1:40" x14ac:dyDescent="0.25">
      <c r="G132" s="15"/>
      <c r="H132" s="15"/>
      <c r="I132" s="15"/>
      <c r="J132" s="10"/>
    </row>
    <row r="133" spans="1:40" x14ac:dyDescent="0.25">
      <c r="G133" s="15"/>
      <c r="H133" s="15"/>
      <c r="I133" s="15"/>
      <c r="J133" s="10"/>
    </row>
    <row r="134" spans="1:40" x14ac:dyDescent="0.25">
      <c r="G134" s="15"/>
      <c r="H134" s="15"/>
      <c r="I134" s="15"/>
      <c r="J134" s="10"/>
    </row>
    <row r="135" spans="1:40" x14ac:dyDescent="0.25">
      <c r="G135" s="15"/>
      <c r="H135" s="15"/>
      <c r="I135" s="15"/>
      <c r="J135" s="10"/>
    </row>
    <row r="136" spans="1:40" x14ac:dyDescent="0.25">
      <c r="G136" s="15"/>
      <c r="H136" s="15"/>
      <c r="I136" s="15"/>
      <c r="J136" s="10"/>
    </row>
    <row r="137" spans="1:40" x14ac:dyDescent="0.25">
      <c r="G137" s="15"/>
      <c r="H137" s="15"/>
      <c r="I137" s="15"/>
      <c r="J137" s="10"/>
    </row>
    <row r="138" spans="1:40" x14ac:dyDescent="0.25">
      <c r="G138" s="15"/>
      <c r="H138" s="15"/>
      <c r="I138" s="15"/>
      <c r="J138" s="10"/>
    </row>
    <row r="139" spans="1:40" x14ac:dyDescent="0.25">
      <c r="G139" s="15"/>
      <c r="H139" s="15"/>
      <c r="I139" s="15"/>
      <c r="J139" s="10"/>
    </row>
    <row r="140" spans="1:40" x14ac:dyDescent="0.25">
      <c r="G140" s="15"/>
      <c r="H140" s="15"/>
      <c r="I140" s="15"/>
      <c r="J140" s="10"/>
    </row>
    <row r="141" spans="1:40" x14ac:dyDescent="0.25">
      <c r="G141" s="15"/>
      <c r="H141" s="15"/>
      <c r="I141" s="15"/>
      <c r="J141" s="10"/>
    </row>
    <row r="142" spans="1:40" x14ac:dyDescent="0.25">
      <c r="G142" s="15"/>
      <c r="H142" s="15"/>
      <c r="I142" s="15"/>
      <c r="J142" s="10"/>
    </row>
    <row r="143" spans="1:40" x14ac:dyDescent="0.25">
      <c r="G143" s="15"/>
      <c r="H143" s="15"/>
      <c r="I143" s="15"/>
      <c r="J143" s="10"/>
    </row>
    <row r="144" spans="1:40" x14ac:dyDescent="0.25">
      <c r="G144" s="15"/>
      <c r="H144" s="15"/>
      <c r="I144" s="15"/>
      <c r="J144" s="10"/>
    </row>
    <row r="145" spans="7:10" x14ac:dyDescent="0.25">
      <c r="G145" s="15"/>
      <c r="H145" s="15"/>
      <c r="I145" s="15"/>
      <c r="J145" s="10"/>
    </row>
    <row r="146" spans="7:10" x14ac:dyDescent="0.25">
      <c r="G146" s="15"/>
      <c r="H146" s="15"/>
      <c r="I146" s="15"/>
      <c r="J146" s="10"/>
    </row>
    <row r="147" spans="7:10" x14ac:dyDescent="0.25">
      <c r="G147" s="15"/>
      <c r="H147" s="15"/>
      <c r="I147" s="15"/>
      <c r="J147" s="10"/>
    </row>
    <row r="148" spans="7:10" x14ac:dyDescent="0.25">
      <c r="G148" s="15"/>
      <c r="H148" s="15"/>
      <c r="I148" s="15"/>
      <c r="J148" s="10"/>
    </row>
    <row r="149" spans="7:10" x14ac:dyDescent="0.25">
      <c r="G149" s="15"/>
      <c r="H149" s="15"/>
      <c r="I149" s="15"/>
      <c r="J149" s="10"/>
    </row>
    <row r="150" spans="7:10" x14ac:dyDescent="0.25">
      <c r="G150" s="15"/>
      <c r="H150" s="15"/>
      <c r="I150" s="15"/>
      <c r="J150" s="10"/>
    </row>
    <row r="151" spans="7:10" x14ac:dyDescent="0.25">
      <c r="G151" s="15"/>
      <c r="H151" s="15"/>
      <c r="I151" s="15"/>
      <c r="J151" s="10"/>
    </row>
    <row r="152" spans="7:10" x14ac:dyDescent="0.25">
      <c r="G152" s="15"/>
      <c r="H152" s="15"/>
      <c r="I152" s="15"/>
      <c r="J152" s="10"/>
    </row>
    <row r="153" spans="7:10" x14ac:dyDescent="0.25">
      <c r="G153" s="15"/>
      <c r="H153" s="15"/>
      <c r="I153" s="15"/>
      <c r="J153" s="10"/>
    </row>
    <row r="154" spans="7:10" x14ac:dyDescent="0.25">
      <c r="G154" s="15"/>
      <c r="H154" s="15"/>
      <c r="I154" s="15"/>
      <c r="J154" s="10"/>
    </row>
    <row r="155" spans="7:10" x14ac:dyDescent="0.25">
      <c r="G155" s="15"/>
    </row>
    <row r="156" spans="7:10" x14ac:dyDescent="0.25">
      <c r="G156" s="15"/>
    </row>
    <row r="157" spans="7:10" x14ac:dyDescent="0.25">
      <c r="G157" s="15"/>
    </row>
    <row r="158" spans="7:10" x14ac:dyDescent="0.25">
      <c r="G158" s="15"/>
    </row>
    <row r="159" spans="7:10" x14ac:dyDescent="0.25">
      <c r="G159" s="15"/>
    </row>
    <row r="160" spans="7:10" x14ac:dyDescent="0.25">
      <c r="G160" s="15"/>
    </row>
    <row r="161" spans="7:7" x14ac:dyDescent="0.25">
      <c r="G161" s="15"/>
    </row>
    <row r="162" spans="7:7" x14ac:dyDescent="0.25">
      <c r="G162" s="15"/>
    </row>
    <row r="163" spans="7:7" x14ac:dyDescent="0.25">
      <c r="G163" s="15"/>
    </row>
    <row r="164" spans="7:7" x14ac:dyDescent="0.25">
      <c r="G164" s="15"/>
    </row>
    <row r="165" spans="7:7" x14ac:dyDescent="0.25">
      <c r="G165" s="15"/>
    </row>
    <row r="166" spans="7:7" x14ac:dyDescent="0.25">
      <c r="G166" s="15"/>
    </row>
    <row r="167" spans="7:7" x14ac:dyDescent="0.25">
      <c r="G167" s="15"/>
    </row>
    <row r="168" spans="7:7" x14ac:dyDescent="0.25">
      <c r="G168" s="15"/>
    </row>
    <row r="169" spans="7:7" x14ac:dyDescent="0.25">
      <c r="G169" s="15"/>
    </row>
    <row r="170" spans="7:7" x14ac:dyDescent="0.25">
      <c r="G170" s="15"/>
    </row>
    <row r="171" spans="7:7" x14ac:dyDescent="0.25">
      <c r="G171" s="16"/>
    </row>
  </sheetData>
  <sheetProtection algorithmName="SHA-512" hashValue="tNyhSTcbc5U44NazQg7vS4AVb0NAgBqhIowFmLPH2S/KRmdDv5+dyDu3OxnMwARydATkkkzA2bTcjO4CPDXD7w==" saltValue="y/bF+hfMl406T5DLLRcN4A==" spinCount="100000" sheet="1" selectLockedCells="1"/>
  <mergeCells count="17">
    <mergeCell ref="K40:L42"/>
    <mergeCell ref="K18:L18"/>
    <mergeCell ref="M6:P6"/>
    <mergeCell ref="N7:O7"/>
    <mergeCell ref="M8:P8"/>
    <mergeCell ref="M9:N9"/>
    <mergeCell ref="O9:P9"/>
    <mergeCell ref="L7:L9"/>
    <mergeCell ref="B34:G34"/>
    <mergeCell ref="B36:G36"/>
    <mergeCell ref="B35:G35"/>
    <mergeCell ref="B2:G2"/>
    <mergeCell ref="K38:L38"/>
    <mergeCell ref="B3:G3"/>
    <mergeCell ref="D31:G31"/>
    <mergeCell ref="D32:E32"/>
    <mergeCell ref="F32:G32"/>
  </mergeCells>
  <dataValidations count="2">
    <dataValidation type="list" allowBlank="1" showInputMessage="1" showErrorMessage="1" sqref="D40 D63" xr:uid="{475CF2B3-9DF4-4645-B750-F02130A51DCC}">
      <formula1>"24, 36, 48, 60"</formula1>
    </dataValidation>
    <dataValidation allowBlank="1" showDropDown="1" showInputMessage="1" showErrorMessage="1" sqref="D41" xr:uid="{3209A37C-57BC-4DC9-9649-B70E335E5439}"/>
  </dataValidations>
  <hyperlinks>
    <hyperlink ref="M9" r:id="rId1" xr:uid="{BF9E3EE2-3328-406F-A55B-E918AC61CED0}"/>
    <hyperlink ref="L7" r:id="rId2" xr:uid="{4F82A417-0A13-4D49-993F-0D27EA49626A}"/>
    <hyperlink ref="D32" r:id="rId3" xr:uid="{43B9D5A6-D31A-4DB9-A2D2-74A030132DBE}"/>
    <hyperlink ref="B25" r:id="rId4" xr:uid="{4B93D57E-147C-4228-9823-21DF1CCF73AD}"/>
  </hyperlinks>
  <pageMargins left="0.7" right="0.7" top="0.75" bottom="0.75" header="0.3" footer="0.3"/>
  <pageSetup orientation="landscape" r:id="rId5"/>
  <headerFooter>
    <oddFooter>&amp;L&amp;1#&amp;"Calibri"&amp;10&amp;K008000Internal Use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9EFE-EC8A-4A7E-A662-D8E247268628}">
  <dimension ref="A1:AN167"/>
  <sheetViews>
    <sheetView zoomScaleNormal="100" workbookViewId="0">
      <selection activeCell="D78" sqref="D78"/>
    </sheetView>
  </sheetViews>
  <sheetFormatPr defaultRowHeight="15" x14ac:dyDescent="0.25"/>
  <cols>
    <col min="1" max="1" width="1.5703125" customWidth="1"/>
    <col min="2" max="2" width="42" customWidth="1"/>
    <col min="3" max="3" width="1" customWidth="1"/>
    <col min="4" max="4" width="19.7109375" customWidth="1"/>
    <col min="5" max="5" width="18.7109375" customWidth="1"/>
    <col min="6" max="6" width="19.42578125" customWidth="1"/>
    <col min="7" max="7" width="19.28515625" customWidth="1"/>
    <col min="8" max="8" width="17.7109375" hidden="1" customWidth="1"/>
    <col min="9" max="9" width="0.28515625" customWidth="1"/>
    <col min="10" max="10" width="28.140625" hidden="1" customWidth="1"/>
    <col min="11" max="12" width="41.7109375" hidden="1" customWidth="1"/>
    <col min="13" max="13" width="18.28515625" hidden="1" customWidth="1"/>
    <col min="14" max="14" width="18" hidden="1" customWidth="1"/>
    <col min="15" max="15" width="15.42578125" hidden="1" customWidth="1"/>
    <col min="16" max="16" width="16.28515625" hidden="1" customWidth="1"/>
    <col min="17" max="17" width="3.28515625" customWidth="1"/>
    <col min="18" max="20" width="9.140625" hidden="1" customWidth="1"/>
  </cols>
  <sheetData>
    <row r="1" spans="1:40" ht="3.75" customHeight="1" x14ac:dyDescent="0.25">
      <c r="A1" s="46"/>
      <c r="B1" s="7"/>
      <c r="C1" s="2"/>
      <c r="D1" s="46"/>
      <c r="E1" s="46"/>
      <c r="F1" s="46"/>
      <c r="G1" s="13"/>
      <c r="H1" s="3"/>
      <c r="I1" s="3"/>
      <c r="J1" s="3"/>
      <c r="K1" s="3"/>
      <c r="L1" s="3"/>
      <c r="M1" s="3"/>
      <c r="N1" s="27"/>
      <c r="O1" s="26"/>
      <c r="P1" s="1"/>
    </row>
    <row r="2" spans="1:40" ht="27" customHeight="1" x14ac:dyDescent="0.25">
      <c r="A2" s="46"/>
      <c r="B2" s="317" t="s">
        <v>126</v>
      </c>
      <c r="C2" s="317"/>
      <c r="D2" s="317"/>
      <c r="E2" s="317"/>
      <c r="F2" s="317"/>
      <c r="G2" s="318"/>
      <c r="H2" s="13"/>
      <c r="I2" s="13"/>
      <c r="J2" s="21"/>
      <c r="K2" s="21"/>
      <c r="L2" s="21"/>
      <c r="M2" s="25"/>
      <c r="N2" s="79"/>
      <c r="O2" s="80"/>
      <c r="P2" s="81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8" customHeight="1" x14ac:dyDescent="0.25">
      <c r="A3" s="46"/>
      <c r="B3" s="320" t="s">
        <v>85</v>
      </c>
      <c r="C3" s="320"/>
      <c r="D3" s="320"/>
      <c r="E3" s="320"/>
      <c r="F3" s="320"/>
      <c r="G3" s="321"/>
      <c r="H3" s="13"/>
      <c r="I3" s="13"/>
      <c r="J3" s="21"/>
      <c r="K3" s="21"/>
      <c r="L3" s="21"/>
      <c r="M3" s="25"/>
      <c r="N3" s="82"/>
      <c r="O3" s="83"/>
      <c r="P3" s="81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</row>
    <row r="4" spans="1:40" ht="1.5" hidden="1" customHeight="1" x14ac:dyDescent="0.25">
      <c r="A4" s="46"/>
      <c r="B4" s="9"/>
      <c r="C4" s="73"/>
      <c r="D4" s="74"/>
      <c r="E4" s="72"/>
      <c r="F4" s="72"/>
      <c r="G4" s="17"/>
      <c r="H4" s="17"/>
      <c r="I4" s="17"/>
      <c r="J4" s="21"/>
      <c r="K4" s="21"/>
      <c r="L4" s="21"/>
      <c r="M4" s="25"/>
      <c r="N4" s="82"/>
      <c r="O4" s="83"/>
      <c r="P4" s="81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40" ht="4.5" hidden="1" customHeight="1" x14ac:dyDescent="0.25">
      <c r="A5" s="46"/>
      <c r="C5" s="43"/>
      <c r="D5" s="46"/>
      <c r="E5" s="46"/>
      <c r="F5" s="46"/>
      <c r="G5" s="17"/>
      <c r="H5" s="17"/>
      <c r="I5" s="17"/>
      <c r="J5" s="21"/>
      <c r="K5" s="21"/>
      <c r="L5" s="21"/>
      <c r="M5" s="25"/>
      <c r="N5" s="82"/>
      <c r="O5" s="83"/>
      <c r="P5" s="81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40" ht="19.5" customHeight="1" thickBot="1" x14ac:dyDescent="0.35">
      <c r="A6" s="46"/>
      <c r="B6" s="47" t="s">
        <v>1</v>
      </c>
      <c r="C6" s="44"/>
      <c r="D6" s="45"/>
      <c r="E6" s="45"/>
      <c r="F6" s="45"/>
      <c r="G6" s="17"/>
      <c r="H6" s="17"/>
      <c r="I6" s="17"/>
      <c r="J6" s="21"/>
      <c r="K6" s="21"/>
      <c r="L6" s="21"/>
      <c r="M6" s="333" t="s">
        <v>2</v>
      </c>
      <c r="N6" s="334"/>
      <c r="O6" s="334"/>
      <c r="P6" s="33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40" ht="19.5" customHeight="1" thickBot="1" x14ac:dyDescent="0.3">
      <c r="A7" s="46"/>
      <c r="B7" s="48" t="s">
        <v>3</v>
      </c>
      <c r="C7" s="8"/>
      <c r="D7" s="314" t="str">
        <f>'MA C&amp;I GAS'!D7</f>
        <v>ABC Company</v>
      </c>
      <c r="F7" s="46"/>
      <c r="G7" s="13"/>
      <c r="H7" s="13"/>
      <c r="I7" s="13"/>
      <c r="J7" s="21"/>
      <c r="K7" s="21"/>
      <c r="L7" s="344" t="s">
        <v>5</v>
      </c>
      <c r="M7" s="102"/>
      <c r="N7" s="336" t="s">
        <v>6</v>
      </c>
      <c r="O7" s="336"/>
      <c r="P7" s="103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</row>
    <row r="8" spans="1:40" ht="20.25" customHeight="1" thickBot="1" x14ac:dyDescent="0.35">
      <c r="A8" s="46"/>
      <c r="B8" s="49" t="s">
        <v>7</v>
      </c>
      <c r="C8" s="44"/>
      <c r="D8" s="296">
        <f>'MA C&amp;I GAS'!D8</f>
        <v>630000</v>
      </c>
      <c r="E8" s="46"/>
      <c r="F8" s="46"/>
      <c r="G8" s="13"/>
      <c r="H8" s="13"/>
      <c r="I8" s="13"/>
      <c r="J8" s="21"/>
      <c r="K8" s="21"/>
      <c r="L8" s="344"/>
      <c r="M8" s="337" t="s">
        <v>8</v>
      </c>
      <c r="N8" s="338"/>
      <c r="O8" s="338"/>
      <c r="P8" s="339"/>
      <c r="Q8" s="46"/>
      <c r="R8" s="46" t="s">
        <v>9</v>
      </c>
      <c r="S8" s="46" cm="1">
        <f t="array" ref="S8">_xlfn.IFS(S10=24,L12,S10=36,M12,S10=48,N12,S10=60,O12)</f>
        <v>0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</row>
    <row r="9" spans="1:40" ht="20.25" customHeight="1" thickBot="1" x14ac:dyDescent="0.3">
      <c r="A9" s="46"/>
      <c r="B9" s="50" t="s">
        <v>10</v>
      </c>
      <c r="C9" s="44"/>
      <c r="D9" s="296">
        <f>'MA C&amp;I GAS'!D9</f>
        <v>130000</v>
      </c>
      <c r="E9" s="51"/>
      <c r="F9" s="89"/>
      <c r="G9" s="13"/>
      <c r="H9" s="13"/>
      <c r="I9" s="13"/>
      <c r="J9" s="21"/>
      <c r="K9" s="21"/>
      <c r="L9" s="345"/>
      <c r="M9" s="340" t="s">
        <v>11</v>
      </c>
      <c r="N9" s="341"/>
      <c r="O9" s="342" t="s">
        <v>12</v>
      </c>
      <c r="P9" s="343"/>
      <c r="Q9" s="46"/>
      <c r="R9" s="46" t="s">
        <v>13</v>
      </c>
      <c r="S9" s="265" t="e">
        <f>E12-L17</f>
        <v>#VALUE!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40" ht="20.25" customHeight="1" thickBot="1" x14ac:dyDescent="0.3">
      <c r="A10" s="46"/>
      <c r="B10" s="50" t="s">
        <v>86</v>
      </c>
      <c r="C10" s="258"/>
      <c r="D10" s="296">
        <f>'MA C&amp;I GAS'!D10</f>
        <v>156000</v>
      </c>
      <c r="E10" s="51"/>
      <c r="F10" s="89"/>
      <c r="G10" s="17"/>
      <c r="H10" s="17"/>
      <c r="I10" s="17"/>
      <c r="J10" s="21"/>
      <c r="K10" s="21"/>
      <c r="L10" s="207"/>
      <c r="M10" s="143"/>
      <c r="N10" s="143"/>
      <c r="O10" s="71"/>
      <c r="P10" s="71"/>
      <c r="Q10" s="46"/>
      <c r="R10" t="s">
        <v>15</v>
      </c>
      <c r="S10" s="46">
        <v>60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40" ht="6.75" customHeight="1" x14ac:dyDescent="0.25">
      <c r="A11" s="46"/>
      <c r="B11" s="28"/>
      <c r="C11" s="53"/>
      <c r="D11" s="54"/>
      <c r="E11" s="19"/>
      <c r="F11" s="90"/>
      <c r="G11" s="17"/>
      <c r="H11" s="17"/>
      <c r="I11" s="17"/>
      <c r="J11" s="21"/>
      <c r="K11" s="21"/>
      <c r="L11" s="21"/>
      <c r="M11" s="25"/>
      <c r="N11" s="82"/>
      <c r="O11" s="83"/>
      <c r="P11" s="81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40" ht="20.25" customHeight="1" x14ac:dyDescent="0.3">
      <c r="A12" s="46"/>
      <c r="B12" s="59" t="s">
        <v>16</v>
      </c>
      <c r="C12" s="55"/>
      <c r="D12" s="60">
        <f>D8-D9</f>
        <v>500000</v>
      </c>
      <c r="E12" s="52"/>
      <c r="F12" s="91"/>
      <c r="G12" s="13"/>
      <c r="H12" s="13"/>
      <c r="I12" s="13"/>
      <c r="J12" s="21"/>
      <c r="K12" s="21"/>
      <c r="L12" s="21"/>
      <c r="M12" s="106"/>
      <c r="N12" s="82"/>
      <c r="O12" s="83"/>
      <c r="P12" s="81"/>
      <c r="Q12" s="46"/>
      <c r="R12" s="46" t="s">
        <v>17</v>
      </c>
      <c r="S12" s="46">
        <v>0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</row>
    <row r="13" spans="1:40" ht="5.25" customHeight="1" thickBot="1" x14ac:dyDescent="0.35">
      <c r="A13" s="46"/>
      <c r="B13" s="47"/>
      <c r="C13" s="136"/>
      <c r="D13" s="200"/>
      <c r="E13" s="201"/>
      <c r="F13" s="206"/>
      <c r="G13" s="13"/>
      <c r="H13" s="13"/>
      <c r="I13" s="13"/>
      <c r="J13" s="21"/>
      <c r="K13" s="202"/>
      <c r="L13" s="106"/>
      <c r="M13" s="3"/>
      <c r="N13" s="86"/>
      <c r="O13" s="83"/>
      <c r="P13" s="81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ht="17.25" customHeight="1" thickBot="1" x14ac:dyDescent="0.35">
      <c r="A14" s="46"/>
      <c r="B14" s="205" t="s">
        <v>87</v>
      </c>
      <c r="C14" s="203"/>
      <c r="D14" s="297">
        <f>'MA C&amp;I GAS'!D14</f>
        <v>92000</v>
      </c>
      <c r="E14" s="46"/>
      <c r="F14" s="46"/>
      <c r="G14" s="13"/>
      <c r="H14" s="13"/>
      <c r="I14" s="13"/>
      <c r="J14" s="21"/>
      <c r="K14" s="95" t="s">
        <v>19</v>
      </c>
      <c r="L14" s="104" t="s">
        <v>20</v>
      </c>
      <c r="M14" s="108" t="s">
        <v>21</v>
      </c>
      <c r="N14" s="109" t="s">
        <v>22</v>
      </c>
      <c r="O14" s="83"/>
      <c r="P14" s="81"/>
      <c r="Q14" s="46"/>
      <c r="R14" s="46" t="s">
        <v>23</v>
      </c>
      <c r="S14" s="265" t="e">
        <f>PMT(S8/12,H57,-S9)</f>
        <v>#VALUE!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ht="18.75" hidden="1" customHeight="1" thickBot="1" x14ac:dyDescent="0.35">
      <c r="A15" s="46"/>
      <c r="B15" s="205" t="s">
        <v>88</v>
      </c>
      <c r="C15" s="203"/>
      <c r="D15" s="298">
        <f>'MA C&amp;I GAS'!D15</f>
        <v>0</v>
      </c>
      <c r="E15" s="46"/>
      <c r="F15" s="46"/>
      <c r="G15" s="13"/>
      <c r="H15" s="17"/>
      <c r="I15" s="17"/>
      <c r="J15" s="17"/>
      <c r="K15" s="270"/>
      <c r="L15" s="271"/>
      <c r="M15" s="108"/>
      <c r="N15" s="109"/>
      <c r="O15" s="83"/>
      <c r="P15" s="81"/>
      <c r="Q15" s="46"/>
      <c r="R15" s="46" t="s">
        <v>89</v>
      </c>
      <c r="S15" s="269" t="e">
        <f>RATE(S10,S14,0,-S9,0,2)</f>
        <v>#VALUE!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ht="19.5" hidden="1" customHeight="1" thickBot="1" x14ac:dyDescent="0.35">
      <c r="A16" s="46"/>
      <c r="B16" s="62" t="s">
        <v>90</v>
      </c>
      <c r="C16" s="61"/>
      <c r="D16" s="299">
        <f>'MA C&amp;I GAS'!D16</f>
        <v>800</v>
      </c>
      <c r="E16" s="46"/>
      <c r="F16" s="46"/>
      <c r="G16" s="13"/>
      <c r="H16" s="17"/>
      <c r="I16" s="17"/>
      <c r="J16" s="96" t="s">
        <v>25</v>
      </c>
      <c r="K16" s="116">
        <f>D12*0.1181</f>
        <v>59050</v>
      </c>
      <c r="L16" s="115">
        <f>D12*0.1481</f>
        <v>74050</v>
      </c>
      <c r="M16" s="110">
        <f>D12*0.1459</f>
        <v>72950</v>
      </c>
      <c r="N16" s="111">
        <f>D12*0.1631</f>
        <v>81550</v>
      </c>
      <c r="O16" s="83"/>
      <c r="P16" s="81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ht="9" customHeight="1" x14ac:dyDescent="0.25">
      <c r="A17" s="46"/>
      <c r="B17" s="46"/>
      <c r="C17" s="58"/>
      <c r="D17" s="46"/>
      <c r="E17" s="46"/>
      <c r="F17" s="46"/>
      <c r="G17" s="34"/>
      <c r="H17" s="3"/>
      <c r="I17" s="3"/>
      <c r="J17" s="97"/>
      <c r="K17" s="38" t="s">
        <v>28</v>
      </c>
      <c r="L17" s="104" t="s">
        <v>29</v>
      </c>
      <c r="M17" s="112" t="s">
        <v>30</v>
      </c>
      <c r="N17" s="109" t="s">
        <v>22</v>
      </c>
      <c r="O17" s="83"/>
      <c r="P17" s="81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ht="19.5" customHeight="1" x14ac:dyDescent="0.3">
      <c r="A18" s="46"/>
      <c r="B18" s="47" t="s">
        <v>91</v>
      </c>
      <c r="C18" s="63"/>
      <c r="D18" s="46"/>
      <c r="E18" s="46"/>
      <c r="F18" s="46"/>
      <c r="G18" s="13"/>
      <c r="H18" s="3"/>
      <c r="I18" s="3"/>
      <c r="J18" s="97"/>
      <c r="K18" s="116">
        <f>J27</f>
        <v>12800</v>
      </c>
      <c r="L18" s="115">
        <f>J27</f>
        <v>12800</v>
      </c>
      <c r="M18" s="114">
        <f>J27</f>
        <v>12800</v>
      </c>
      <c r="N18" s="111">
        <f>J27</f>
        <v>12800</v>
      </c>
      <c r="O18" s="83"/>
      <c r="P18" s="81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ht="19.5" customHeight="1" x14ac:dyDescent="0.45">
      <c r="A19" s="46"/>
      <c r="B19" s="248"/>
      <c r="C19" s="46"/>
      <c r="D19" s="65" t="s">
        <v>92</v>
      </c>
      <c r="E19" s="66" t="s">
        <v>93</v>
      </c>
      <c r="F19" s="65" t="s">
        <v>94</v>
      </c>
      <c r="G19" s="65" t="s">
        <v>95</v>
      </c>
      <c r="H19" s="92"/>
      <c r="I19" s="92"/>
      <c r="J19" s="96" t="s">
        <v>37</v>
      </c>
      <c r="K19" s="331" t="s">
        <v>38</v>
      </c>
      <c r="L19" s="332"/>
      <c r="M19" s="3"/>
      <c r="N19" s="86"/>
      <c r="O19" s="83"/>
      <c r="P19" s="81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ht="19.5" hidden="1" customHeight="1" x14ac:dyDescent="0.25">
      <c r="A20" s="46"/>
      <c r="B20" s="67" t="s">
        <v>39</v>
      </c>
      <c r="C20" s="46"/>
      <c r="D20" s="75" t="str">
        <f>IF(D12&lt;250000, "Yes", "No")</f>
        <v>No</v>
      </c>
      <c r="E20" s="75" t="str">
        <f>IF(D12&lt;250000, "Yes", "No")</f>
        <v>No</v>
      </c>
      <c r="F20" s="75" t="str">
        <f>IF(D12&lt;250000, "Yes", "No")</f>
        <v>No</v>
      </c>
      <c r="G20" s="75" t="str">
        <f>IF(D12&lt;250000, "Yes", "No")</f>
        <v>No</v>
      </c>
      <c r="H20" s="3"/>
      <c r="I20" s="3"/>
      <c r="J20" s="97"/>
      <c r="K20" s="39" t="s">
        <v>40</v>
      </c>
      <c r="L20" s="105" t="s">
        <v>41</v>
      </c>
      <c r="M20" s="108">
        <v>48</v>
      </c>
      <c r="N20" s="113">
        <v>60</v>
      </c>
      <c r="O20" s="83"/>
      <c r="P20" s="81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ht="19.5" hidden="1" customHeight="1" x14ac:dyDescent="0.25">
      <c r="A21" s="46"/>
      <c r="B21" s="67" t="s">
        <v>42</v>
      </c>
      <c r="C21" s="46"/>
      <c r="D21" s="75" t="str">
        <f>IF(D22&gt;0, "Yes", "No")</f>
        <v>Yes</v>
      </c>
      <c r="E21" s="78" t="str">
        <f>IF(E22&gt;0, "Yes", "No")</f>
        <v>Yes</v>
      </c>
      <c r="F21" s="78" t="str">
        <f t="shared" ref="F21:G21" si="0">IF(F22&gt;0, "Yes", "No")</f>
        <v>Yes</v>
      </c>
      <c r="G21" s="78" t="str">
        <f t="shared" si="0"/>
        <v>Yes</v>
      </c>
      <c r="H21" s="3"/>
      <c r="I21" s="3"/>
      <c r="J21" s="3"/>
      <c r="K21" s="118">
        <f>K16/D16</f>
        <v>73.8125</v>
      </c>
      <c r="L21" s="119">
        <f>L16/D16</f>
        <v>92.5625</v>
      </c>
      <c r="M21" s="117">
        <f>M16/D16</f>
        <v>91.1875</v>
      </c>
      <c r="N21" s="120">
        <f>N16/D16</f>
        <v>101.9375</v>
      </c>
      <c r="O21" s="83"/>
      <c r="P21" s="81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ht="19.5" customHeight="1" x14ac:dyDescent="0.25">
      <c r="A22" s="46"/>
      <c r="B22" s="179" t="s">
        <v>96</v>
      </c>
      <c r="C22" s="46"/>
      <c r="D22" s="276">
        <f>'MA C&amp;I GAS'!R16</f>
        <v>2.8157795381381044E-2</v>
      </c>
      <c r="E22" s="276">
        <f>'MA C&amp;I GAS'!S16</f>
        <v>4.185334123856084E-2</v>
      </c>
      <c r="F22" s="276">
        <f>'MA C&amp;I GAS'!T16</f>
        <v>5.0672334922689077E-2</v>
      </c>
      <c r="G22" s="276">
        <f>'MA C&amp;I GAS'!U16</f>
        <v>5.3066732623241172E-2</v>
      </c>
      <c r="H22" s="3"/>
      <c r="I22" s="3"/>
      <c r="J22" s="98" t="s">
        <v>16</v>
      </c>
      <c r="K22" s="31" t="s">
        <v>44</v>
      </c>
      <c r="L22" s="30"/>
      <c r="M22" s="107"/>
      <c r="N22" s="82"/>
      <c r="O22" s="83"/>
      <c r="P22" s="81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0" ht="19.5" customHeight="1" x14ac:dyDescent="0.3">
      <c r="A23" s="46"/>
      <c r="B23" s="179" t="s">
        <v>45</v>
      </c>
      <c r="C23" s="46"/>
      <c r="D23" s="183">
        <f>D12</f>
        <v>500000</v>
      </c>
      <c r="E23" s="184">
        <f>D12</f>
        <v>500000</v>
      </c>
      <c r="F23" s="184">
        <f>D12</f>
        <v>500000</v>
      </c>
      <c r="G23" s="185">
        <f>D12</f>
        <v>500000</v>
      </c>
      <c r="H23" s="3"/>
      <c r="I23" s="3"/>
      <c r="J23" s="98"/>
      <c r="K23" s="31"/>
      <c r="L23" s="30"/>
      <c r="M23" s="107"/>
      <c r="N23" s="82"/>
      <c r="O23" s="83"/>
      <c r="P23" s="81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ht="6.75" customHeight="1" x14ac:dyDescent="0.25">
      <c r="A24" s="46"/>
      <c r="B24" s="46"/>
      <c r="C24" s="64"/>
      <c r="D24" s="46"/>
      <c r="E24" s="46"/>
      <c r="F24" s="46"/>
      <c r="G24" s="13"/>
      <c r="H24" s="3"/>
      <c r="I24" s="3"/>
      <c r="J24" s="97"/>
      <c r="K24" s="29" t="s">
        <v>46</v>
      </c>
      <c r="L24" s="10"/>
      <c r="M24" s="25"/>
      <c r="N24" s="82"/>
      <c r="O24" s="83"/>
      <c r="P24" s="81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ht="18.75" customHeight="1" x14ac:dyDescent="0.3">
      <c r="A25" s="46"/>
      <c r="B25" s="47" t="s">
        <v>47</v>
      </c>
      <c r="C25" s="2"/>
      <c r="D25" s="46"/>
      <c r="E25" s="46"/>
      <c r="F25" s="46"/>
      <c r="G25" s="13"/>
      <c r="H25" s="3"/>
      <c r="I25" s="3"/>
      <c r="J25" s="2"/>
      <c r="K25" s="37" t="s">
        <v>48</v>
      </c>
      <c r="L25" s="37" t="s">
        <v>49</v>
      </c>
      <c r="M25" s="122" t="s">
        <v>50</v>
      </c>
      <c r="N25" s="121" t="s">
        <v>51</v>
      </c>
      <c r="O25" s="83"/>
      <c r="P25" s="81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ht="16.5" customHeight="1" x14ac:dyDescent="0.3">
      <c r="A26" s="46"/>
      <c r="B26" s="249" t="s">
        <v>52</v>
      </c>
      <c r="C26" s="2"/>
      <c r="D26" s="76" t="s">
        <v>92</v>
      </c>
      <c r="E26" s="77" t="s">
        <v>93</v>
      </c>
      <c r="F26" s="76" t="s">
        <v>94</v>
      </c>
      <c r="G26" s="65" t="s">
        <v>95</v>
      </c>
      <c r="H26" s="92"/>
      <c r="I26" s="92"/>
      <c r="J26" s="99" t="s">
        <v>54</v>
      </c>
      <c r="K26" s="35">
        <f>IF(OR(D48&gt;"0",D48&gt;0), D48,"0")</f>
        <v>46250</v>
      </c>
      <c r="L26" s="35">
        <f>IF(OR(E48&gt;"0",E48&gt;0), E48,"0")</f>
        <v>61250</v>
      </c>
      <c r="M26" s="35">
        <f>IF(OR(F48&gt;"0",F48&gt;0), F48,"0")</f>
        <v>60150</v>
      </c>
      <c r="N26" s="35">
        <f>IF(OR(G48&gt;"0",G48&gt;0), G48,"0")</f>
        <v>68750</v>
      </c>
      <c r="O26" s="83"/>
      <c r="P26" s="81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ht="6" hidden="1" customHeight="1" x14ac:dyDescent="0.45">
      <c r="A27" s="46"/>
      <c r="B27" s="152" t="s">
        <v>39</v>
      </c>
      <c r="C27" s="2"/>
      <c r="D27" s="75" t="str">
        <f>IF(D12&lt;250000, "Yes", "No")</f>
        <v>No</v>
      </c>
      <c r="E27" s="75" t="str">
        <f>IF(D12&lt;250000, "Yes", "No")</f>
        <v>No</v>
      </c>
      <c r="F27" s="75"/>
      <c r="G27" s="94"/>
      <c r="H27" s="3"/>
      <c r="I27" s="3"/>
      <c r="J27" s="100">
        <f>D16*16</f>
        <v>12800</v>
      </c>
      <c r="K27" s="41" t="s">
        <v>56</v>
      </c>
      <c r="L27" s="36"/>
      <c r="M27" s="107"/>
      <c r="N27" s="82"/>
      <c r="O27" s="83"/>
      <c r="P27" s="81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ht="18.75" customHeight="1" x14ac:dyDescent="0.25">
      <c r="A28" s="46"/>
      <c r="B28" s="179" t="s">
        <v>57</v>
      </c>
      <c r="C28" s="2"/>
      <c r="D28" s="277">
        <f>'MA C&amp;I GAS'!R14</f>
        <v>21449.886295839464</v>
      </c>
      <c r="E28" s="277">
        <f>'MA C&amp;I GAS'!S14</f>
        <v>14803.250509871614</v>
      </c>
      <c r="F28" s="277">
        <f>'MA C&amp;I GAS'!T14</f>
        <v>11529.881039723055</v>
      </c>
      <c r="G28" s="277">
        <f>'MA C&amp;I GAS'!U14</f>
        <v>9506.0282292371448</v>
      </c>
      <c r="H28" s="3"/>
      <c r="I28" s="3"/>
      <c r="J28" s="100"/>
      <c r="K28" s="31" t="s">
        <v>58</v>
      </c>
      <c r="L28" s="17"/>
      <c r="M28" s="106"/>
      <c r="N28" s="82"/>
      <c r="O28" s="83"/>
      <c r="P28" s="81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ht="18.75" customHeight="1" x14ac:dyDescent="0.25">
      <c r="A29" s="46"/>
      <c r="B29" s="179" t="s">
        <v>59</v>
      </c>
      <c r="C29" s="2"/>
      <c r="D29" s="218">
        <f>D10/12</f>
        <v>13000</v>
      </c>
      <c r="E29" s="219">
        <f>D10/12</f>
        <v>13000</v>
      </c>
      <c r="F29" s="218">
        <f>D10/12</f>
        <v>13000</v>
      </c>
      <c r="G29" s="220">
        <f>D10/12</f>
        <v>13000</v>
      </c>
      <c r="H29" s="3"/>
      <c r="I29" s="3"/>
      <c r="J29" s="100"/>
      <c r="K29" s="199"/>
      <c r="L29" s="3"/>
      <c r="M29" s="3"/>
      <c r="N29" s="86"/>
      <c r="O29" s="87"/>
      <c r="P29" s="81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ht="18.75" customHeight="1" x14ac:dyDescent="0.25">
      <c r="A30" s="46"/>
      <c r="B30" s="179" t="s">
        <v>61</v>
      </c>
      <c r="C30" s="2"/>
      <c r="D30" s="212">
        <f>D29-D28</f>
        <v>-8449.8862958394639</v>
      </c>
      <c r="E30" s="213">
        <f>E29-E28</f>
        <v>-1803.2505098716138</v>
      </c>
      <c r="F30" s="212">
        <f>F29-F28</f>
        <v>1470.1189602769446</v>
      </c>
      <c r="G30" s="214">
        <f>G29-G28</f>
        <v>3493.9717707628552</v>
      </c>
      <c r="H30" s="3"/>
      <c r="I30" s="3"/>
      <c r="J30" s="100"/>
      <c r="K30" s="199"/>
      <c r="L30" s="3"/>
      <c r="M30" s="3"/>
      <c r="N30" s="86"/>
      <c r="O30" s="87"/>
      <c r="P30" s="81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ht="7.5" customHeight="1" x14ac:dyDescent="0.25">
      <c r="A31" s="46"/>
      <c r="B31" s="231"/>
      <c r="C31" s="2"/>
      <c r="D31" s="234"/>
      <c r="E31" s="232"/>
      <c r="F31" s="232"/>
      <c r="G31" s="233"/>
      <c r="H31" s="3"/>
      <c r="I31" s="3"/>
      <c r="J31" s="100"/>
      <c r="K31" s="199"/>
      <c r="L31" s="3"/>
      <c r="M31" s="3"/>
      <c r="N31" s="86"/>
      <c r="O31" s="87"/>
      <c r="P31" s="81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ht="23.25" x14ac:dyDescent="0.35">
      <c r="A32" s="46"/>
      <c r="B32" s="224" t="s">
        <v>62</v>
      </c>
      <c r="C32" s="137"/>
      <c r="D32" s="322" t="s">
        <v>63</v>
      </c>
      <c r="E32" s="323"/>
      <c r="F32" s="323"/>
      <c r="G32" s="324"/>
      <c r="H32" s="13"/>
      <c r="I32" s="13"/>
      <c r="J32" s="101" t="s">
        <v>48</v>
      </c>
      <c r="K32" s="37" t="s">
        <v>48</v>
      </c>
      <c r="L32" s="123" t="s">
        <v>49</v>
      </c>
      <c r="M32" s="125"/>
      <c r="N32" s="126"/>
      <c r="O32" s="81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ht="23.25" x14ac:dyDescent="0.35">
      <c r="A33" s="46"/>
      <c r="B33" s="225"/>
      <c r="C33" s="138"/>
      <c r="D33" s="325" t="s">
        <v>11</v>
      </c>
      <c r="E33" s="326"/>
      <c r="F33" s="327" t="s">
        <v>12</v>
      </c>
      <c r="G33" s="328"/>
      <c r="H33" s="69"/>
      <c r="I33" s="69"/>
      <c r="J33" s="46"/>
      <c r="K33" s="40" t="str">
        <f>IF(OR(D49&gt;"0",D49&gt;0),D50, "0")</f>
        <v>0</v>
      </c>
      <c r="L33" s="124" t="str">
        <f>IF(OR(D49&gt;"0",D49&gt;0),E50, "0")</f>
        <v>0</v>
      </c>
      <c r="M33" s="124" t="str">
        <f>IF(OR(D49&gt;"0",D49&gt;0),F50, "0")</f>
        <v>0</v>
      </c>
      <c r="N33" s="40" t="str">
        <f>IF(OR(ED9&gt;"0",D49&gt;0),G50, "0")</f>
        <v>0</v>
      </c>
      <c r="O33" s="81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ht="6.75" customHeight="1" x14ac:dyDescent="0.35">
      <c r="A34" s="46"/>
      <c r="B34" s="225"/>
      <c r="C34" s="46"/>
      <c r="D34" s="226"/>
      <c r="E34" s="226"/>
      <c r="F34" s="92"/>
      <c r="G34" s="92"/>
      <c r="H34" s="69"/>
      <c r="I34" s="69"/>
      <c r="J34" s="46"/>
      <c r="K34" s="227"/>
      <c r="L34" s="227"/>
      <c r="M34" s="228"/>
      <c r="N34" s="228"/>
      <c r="O34" s="81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ht="15.75" hidden="1" x14ac:dyDescent="0.25">
      <c r="A35" s="46"/>
      <c r="B35" s="46" t="s">
        <v>68</v>
      </c>
      <c r="C35" s="229"/>
      <c r="D35" s="230">
        <v>808168.43</v>
      </c>
      <c r="E35" s="46"/>
      <c r="F35" s="46"/>
      <c r="G35" s="46"/>
      <c r="H35" s="69"/>
      <c r="I35" s="69"/>
      <c r="J35" s="46"/>
      <c r="K35" s="42" t="s">
        <v>66</v>
      </c>
      <c r="L35" s="42"/>
      <c r="M35" s="82"/>
      <c r="N35" s="83"/>
      <c r="O35" s="81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ht="15.75" hidden="1" x14ac:dyDescent="0.25">
      <c r="A36" s="46"/>
      <c r="B36" s="46" t="s">
        <v>69</v>
      </c>
      <c r="C36" s="46"/>
      <c r="D36" s="178">
        <v>36</v>
      </c>
      <c r="E36" s="46"/>
      <c r="F36" s="46"/>
      <c r="G36" s="46"/>
      <c r="H36" s="70"/>
      <c r="I36" s="70"/>
      <c r="J36" s="46"/>
      <c r="K36" s="319"/>
      <c r="L36" s="319"/>
      <c r="M36" s="82"/>
      <c r="N36" s="83"/>
      <c r="O36" s="81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0" ht="15.75" hidden="1" x14ac:dyDescent="0.25">
      <c r="A37" s="46"/>
      <c r="B37" s="46" t="s">
        <v>16</v>
      </c>
      <c r="C37" s="46"/>
      <c r="D37" s="177">
        <f>D35-D39</f>
        <v>678168.43</v>
      </c>
      <c r="E37" s="46"/>
      <c r="F37" s="46"/>
      <c r="G37" s="46"/>
      <c r="H37" s="70"/>
      <c r="I37" s="70"/>
      <c r="J37" s="46"/>
      <c r="K37" s="139"/>
      <c r="L37" s="139"/>
      <c r="M37" s="82"/>
      <c r="N37" s="83"/>
      <c r="O37" s="81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ht="15.75" hidden="1" x14ac:dyDescent="0.25">
      <c r="A38" s="46"/>
      <c r="B38" s="46" t="s">
        <v>70</v>
      </c>
      <c r="C38" s="137"/>
      <c r="D38" s="159" cm="1">
        <f t="array" ref="D38">_xlfn.IFS(D36=24,K48,D36=36,L48,D36=48,M48,D36=60,N48)</f>
        <v>808168.47912940639</v>
      </c>
      <c r="E38" s="46"/>
      <c r="F38" s="46"/>
      <c r="G38" s="46"/>
      <c r="H38" s="71"/>
      <c r="I38" s="71"/>
      <c r="J38" s="46"/>
      <c r="K38" s="329"/>
      <c r="L38" s="329"/>
      <c r="M38" s="82"/>
      <c r="N38" s="83"/>
      <c r="O38" s="81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ht="15.75" hidden="1" x14ac:dyDescent="0.25">
      <c r="A39" s="46"/>
      <c r="B39" s="46" t="s">
        <v>10</v>
      </c>
      <c r="C39" s="137"/>
      <c r="D39" s="158">
        <f>D9</f>
        <v>130000</v>
      </c>
      <c r="E39" s="46"/>
      <c r="F39" s="46"/>
      <c r="G39" s="46"/>
      <c r="H39" s="71"/>
      <c r="I39" s="71"/>
      <c r="J39" s="46"/>
      <c r="K39" s="329"/>
      <c r="L39" s="329"/>
      <c r="M39" s="82"/>
      <c r="N39" s="83"/>
      <c r="O39" s="81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ht="15.75" hidden="1" x14ac:dyDescent="0.25">
      <c r="A40" s="46"/>
      <c r="B40" s="22" t="s">
        <v>71</v>
      </c>
      <c r="C40" s="58"/>
      <c r="D40" s="151">
        <f>D35</f>
        <v>808168.43</v>
      </c>
      <c r="E40" s="46"/>
      <c r="F40" s="46"/>
      <c r="G40" s="14"/>
      <c r="H40" s="14"/>
      <c r="I40" s="14"/>
      <c r="J40" s="21"/>
      <c r="K40" s="330"/>
      <c r="L40" s="330"/>
      <c r="M40" s="82"/>
      <c r="N40" s="83"/>
      <c r="O40" s="81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hidden="1" x14ac:dyDescent="0.25">
      <c r="A41" s="46"/>
      <c r="B41" s="22"/>
      <c r="C41" s="57"/>
      <c r="D41" s="46"/>
      <c r="E41" s="12"/>
      <c r="F41" s="12"/>
      <c r="G41" s="21"/>
      <c r="H41" s="21"/>
      <c r="I41" s="21"/>
      <c r="J41" s="21"/>
      <c r="K41" s="21"/>
      <c r="L41" s="25"/>
      <c r="M41" s="82"/>
      <c r="N41" s="83"/>
      <c r="O41" s="81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hidden="1" x14ac:dyDescent="0.25">
      <c r="A42" s="46"/>
      <c r="B42" s="10"/>
      <c r="C42" s="10"/>
      <c r="D42" s="208">
        <v>11.81</v>
      </c>
      <c r="E42" s="209">
        <v>14.81</v>
      </c>
      <c r="F42" s="210">
        <v>14.59</v>
      </c>
      <c r="G42" s="210">
        <v>16.309999999999999</v>
      </c>
      <c r="H42" s="17"/>
      <c r="I42" s="17"/>
      <c r="J42" s="21"/>
      <c r="K42" s="21"/>
      <c r="L42" s="21"/>
      <c r="M42" s="25"/>
      <c r="N42" s="84"/>
      <c r="O42" s="85"/>
      <c r="P42" s="81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40" hidden="1" x14ac:dyDescent="0.25">
      <c r="A43" s="46"/>
      <c r="B43" s="10"/>
      <c r="C43" s="10"/>
      <c r="D43" s="211">
        <f t="shared" ref="D43:F43" si="1">100-D42</f>
        <v>88.19</v>
      </c>
      <c r="E43" s="211">
        <f t="shared" si="1"/>
        <v>85.19</v>
      </c>
      <c r="F43" s="211">
        <f t="shared" si="1"/>
        <v>85.41</v>
      </c>
      <c r="G43" s="211">
        <f>100-G42</f>
        <v>83.69</v>
      </c>
      <c r="H43" s="18"/>
      <c r="I43" s="18"/>
      <c r="J43" s="21"/>
      <c r="K43" s="21"/>
      <c r="L43" s="21"/>
      <c r="M43" s="25"/>
      <c r="N43" s="82"/>
      <c r="O43" s="83"/>
      <c r="P43" s="81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40" hidden="1" x14ac:dyDescent="0.25">
      <c r="A44" s="46"/>
      <c r="B44" s="10"/>
      <c r="C44" s="10"/>
      <c r="D44" s="19"/>
      <c r="E44" s="19"/>
      <c r="F44" s="90"/>
      <c r="G44" s="17"/>
      <c r="H44" s="17"/>
      <c r="I44" s="17"/>
      <c r="J44" s="21"/>
      <c r="K44" s="21"/>
      <c r="L44" s="21"/>
      <c r="M44" s="25"/>
      <c r="N44" s="82"/>
      <c r="O44" s="83"/>
      <c r="P44" s="81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  <row r="45" spans="1:40" hidden="1" x14ac:dyDescent="0.25">
      <c r="B45" s="10"/>
      <c r="C45" s="10"/>
      <c r="D45" s="19"/>
      <c r="E45" s="10"/>
      <c r="F45" s="6"/>
      <c r="G45" s="17"/>
      <c r="H45" s="17"/>
      <c r="I45" s="17"/>
      <c r="J45" s="21"/>
      <c r="K45" s="21"/>
      <c r="L45" s="21"/>
      <c r="M45" s="25"/>
      <c r="N45" s="82"/>
      <c r="O45" s="83"/>
      <c r="P45" s="81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</row>
    <row r="46" spans="1:40" hidden="1" x14ac:dyDescent="0.25">
      <c r="B46" s="10"/>
      <c r="C46" s="10"/>
      <c r="D46" s="10"/>
      <c r="E46" s="10"/>
      <c r="F46" s="6"/>
      <c r="G46" s="17"/>
      <c r="H46" s="17"/>
      <c r="I46" s="17"/>
      <c r="J46" s="21" t="s">
        <v>72</v>
      </c>
      <c r="K46" s="161">
        <f>D35</f>
        <v>808168.43</v>
      </c>
      <c r="L46" s="161">
        <f>D35</f>
        <v>808168.43</v>
      </c>
      <c r="M46" s="163">
        <f>D35</f>
        <v>808168.43</v>
      </c>
      <c r="N46" s="166">
        <f>D35</f>
        <v>808168.43</v>
      </c>
      <c r="O46" s="83"/>
      <c r="P46" s="81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  <row r="47" spans="1:40" hidden="1" x14ac:dyDescent="0.25">
      <c r="B47" s="10"/>
      <c r="C47" s="10"/>
      <c r="D47" s="32">
        <f>K16-D9</f>
        <v>-70950</v>
      </c>
      <c r="E47" s="33">
        <f>L16-D9</f>
        <v>-55950</v>
      </c>
      <c r="F47" s="93"/>
      <c r="G47" s="17"/>
      <c r="H47" s="17"/>
      <c r="I47" s="17"/>
      <c r="J47" s="21" t="s">
        <v>73</v>
      </c>
      <c r="K47" s="174">
        <v>0.88190000000000002</v>
      </c>
      <c r="L47" s="174">
        <v>0.85189999999999999</v>
      </c>
      <c r="M47" s="175">
        <v>0.85409999999999997</v>
      </c>
      <c r="N47" s="176">
        <v>0.83689999999999998</v>
      </c>
      <c r="O47" s="83"/>
      <c r="P47" s="81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</row>
    <row r="48" spans="1:40" ht="14.25" hidden="1" customHeight="1" x14ac:dyDescent="0.25">
      <c r="B48" s="10"/>
      <c r="C48" s="10"/>
      <c r="D48" s="33">
        <f>K16-J27</f>
        <v>46250</v>
      </c>
      <c r="E48" s="33">
        <f>L16-J27</f>
        <v>61250</v>
      </c>
      <c r="F48" s="133">
        <f>M16-J27</f>
        <v>60150</v>
      </c>
      <c r="G48" s="134">
        <f>N16-J27</f>
        <v>68750</v>
      </c>
      <c r="H48" s="17"/>
      <c r="I48" s="17"/>
      <c r="J48" s="21" t="s">
        <v>74</v>
      </c>
      <c r="K48" s="164">
        <f>(D22/K47)+K46</f>
        <v>808168.46192855819</v>
      </c>
      <c r="L48" s="164">
        <f>(E22/L47)+L46</f>
        <v>808168.47912940639</v>
      </c>
      <c r="M48" s="165">
        <f>(F22/M47)+M46</f>
        <v>808168.4893283397</v>
      </c>
      <c r="N48" s="166">
        <f>(G22/N47)+N46</f>
        <v>808168.49340868997</v>
      </c>
      <c r="O48" s="83"/>
      <c r="P48" s="81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</row>
    <row r="49" spans="2:40" hidden="1" x14ac:dyDescent="0.25">
      <c r="B49" s="10"/>
      <c r="C49" s="10"/>
      <c r="D49" s="33"/>
      <c r="E49" s="33"/>
      <c r="F49" s="93"/>
      <c r="G49" s="17"/>
      <c r="H49" s="17"/>
      <c r="I49" s="17"/>
      <c r="J49" s="21"/>
      <c r="K49" s="174">
        <v>0.1181</v>
      </c>
      <c r="L49" s="186">
        <v>0.14810000000000001</v>
      </c>
      <c r="M49" s="187">
        <v>0.1459</v>
      </c>
      <c r="N49" s="188">
        <v>0.16309999999999999</v>
      </c>
      <c r="O49" s="83"/>
      <c r="P49" s="81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  <row r="50" spans="2:40" hidden="1" x14ac:dyDescent="0.25">
      <c r="B50" s="10"/>
      <c r="C50" s="10"/>
      <c r="D50" s="33">
        <f>D49*0.1181</f>
        <v>0</v>
      </c>
      <c r="E50" s="33">
        <f>D49*0.1481</f>
        <v>0</v>
      </c>
      <c r="F50" s="93">
        <f>D49*0.1459</f>
        <v>0</v>
      </c>
      <c r="G50" s="135">
        <f>D49*0.1631</f>
        <v>0</v>
      </c>
      <c r="H50" s="17"/>
      <c r="I50" s="17"/>
      <c r="J50" s="21"/>
      <c r="K50" s="21">
        <f>D22/(1+K49)</f>
        <v>2.5183610930490156E-2</v>
      </c>
      <c r="L50" s="21"/>
      <c r="M50" s="25"/>
      <c r="N50" s="84"/>
      <c r="O50" s="85"/>
      <c r="P50" s="81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2:40" hidden="1" x14ac:dyDescent="0.25">
      <c r="B51" s="10"/>
      <c r="C51" s="10"/>
      <c r="D51" s="10"/>
      <c r="E51" s="10"/>
      <c r="F51" s="6"/>
      <c r="G51" s="17"/>
      <c r="H51" s="17"/>
      <c r="I51" s="17"/>
      <c r="J51" s="21"/>
      <c r="K51" s="21"/>
      <c r="L51" s="21"/>
      <c r="M51" s="21"/>
      <c r="N51" s="86"/>
      <c r="O51" s="87"/>
      <c r="P51" s="81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2:40" hidden="1" x14ac:dyDescent="0.25">
      <c r="B52" s="10"/>
      <c r="C52" s="10"/>
      <c r="D52" s="10"/>
      <c r="E52" s="127"/>
      <c r="F52" s="128">
        <v>1.9900000000000001E-2</v>
      </c>
      <c r="G52" s="131">
        <v>1.9900000000000001E-2</v>
      </c>
      <c r="H52" s="17"/>
      <c r="I52" s="17"/>
      <c r="J52" s="21"/>
      <c r="K52" s="21"/>
      <c r="L52" s="21"/>
      <c r="M52" s="21"/>
      <c r="N52" s="86"/>
      <c r="O52" s="87"/>
      <c r="P52" s="81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2:40" hidden="1" x14ac:dyDescent="0.25">
      <c r="B53" s="10"/>
      <c r="C53" s="10"/>
      <c r="D53" s="10"/>
      <c r="E53" s="10"/>
      <c r="F53" s="6">
        <v>48</v>
      </c>
      <c r="G53" s="17">
        <v>60</v>
      </c>
      <c r="H53" s="17"/>
      <c r="I53" s="17"/>
      <c r="J53" s="21"/>
      <c r="K53" s="21"/>
      <c r="L53" s="21"/>
      <c r="M53" s="21"/>
      <c r="N53" s="86"/>
      <c r="O53" s="87"/>
      <c r="P53" s="81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2:40" hidden="1" x14ac:dyDescent="0.25">
      <c r="B54" s="10"/>
      <c r="C54" s="10"/>
      <c r="D54" s="10"/>
      <c r="E54" s="10"/>
      <c r="F54" s="6"/>
      <c r="G54" s="17"/>
      <c r="H54" s="17"/>
      <c r="I54" s="17"/>
      <c r="J54" s="21"/>
      <c r="K54" s="21"/>
      <c r="L54" s="21"/>
      <c r="M54" s="21"/>
      <c r="N54" s="86"/>
      <c r="O54" s="87"/>
      <c r="P54" s="81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5" spans="2:40" hidden="1" x14ac:dyDescent="0.25">
      <c r="B55" s="10"/>
      <c r="C55" s="19"/>
      <c r="D55" s="10"/>
      <c r="E55" s="10"/>
      <c r="F55" s="136"/>
      <c r="G55" s="17"/>
      <c r="H55" s="3"/>
      <c r="I55" s="3"/>
      <c r="J55" s="3"/>
      <c r="K55" s="3"/>
      <c r="L55" s="3"/>
      <c r="M55" s="3"/>
      <c r="N55" s="86"/>
      <c r="O55" s="87"/>
      <c r="P55" s="81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2:40" hidden="1" x14ac:dyDescent="0.25">
      <c r="B56" s="10" t="s">
        <v>75</v>
      </c>
      <c r="C56" s="19"/>
      <c r="D56" s="190"/>
      <c r="E56" s="10"/>
      <c r="F56" s="136"/>
      <c r="G56" s="17"/>
      <c r="H56" s="3"/>
      <c r="I56" s="3"/>
      <c r="J56" s="3"/>
      <c r="K56" s="3"/>
      <c r="L56" s="3"/>
      <c r="M56" s="3"/>
      <c r="N56" s="86"/>
      <c r="O56" s="87"/>
      <c r="P56" s="81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2:40" hidden="1" x14ac:dyDescent="0.25">
      <c r="B57" s="10" t="s">
        <v>76</v>
      </c>
      <c r="C57" s="189"/>
      <c r="D57" s="196">
        <f>D35</f>
        <v>808168.43</v>
      </c>
      <c r="E57" s="8"/>
      <c r="F57" s="136"/>
      <c r="G57" s="17"/>
      <c r="H57" s="3"/>
      <c r="I57" s="3"/>
      <c r="J57" s="3"/>
      <c r="K57" s="3"/>
      <c r="L57" s="3"/>
      <c r="M57" s="3"/>
      <c r="N57" s="86"/>
      <c r="O57" s="87"/>
      <c r="P57" s="81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2:40" hidden="1" x14ac:dyDescent="0.25">
      <c r="B58" s="10" t="s">
        <v>10</v>
      </c>
      <c r="C58" s="189"/>
      <c r="D58" s="197">
        <f>D9</f>
        <v>130000</v>
      </c>
      <c r="E58" s="8"/>
      <c r="F58" s="136"/>
      <c r="G58" s="17"/>
      <c r="H58" s="3"/>
      <c r="I58" s="3"/>
      <c r="J58" s="3"/>
      <c r="K58" s="3"/>
      <c r="L58" s="3"/>
      <c r="M58" s="3"/>
      <c r="N58" s="86"/>
      <c r="O58" s="87"/>
      <c r="P58" s="81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2:40" hidden="1" x14ac:dyDescent="0.25">
      <c r="B59" s="10" t="s">
        <v>77</v>
      </c>
      <c r="C59" s="189"/>
      <c r="D59" s="193">
        <v>24</v>
      </c>
      <c r="E59" s="8"/>
      <c r="F59" s="136"/>
      <c r="G59" s="17"/>
      <c r="H59" s="3"/>
      <c r="I59" s="3"/>
      <c r="J59" s="3"/>
      <c r="K59" s="3"/>
      <c r="L59" s="3"/>
      <c r="M59" s="3"/>
      <c r="N59" s="86"/>
      <c r="O59" s="87"/>
      <c r="P59" s="81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2:40" hidden="1" x14ac:dyDescent="0.25">
      <c r="B60" s="10" t="s">
        <v>78</v>
      </c>
      <c r="C60" s="189"/>
      <c r="D60" s="198">
        <f>D16</f>
        <v>800</v>
      </c>
      <c r="E60" s="8"/>
      <c r="F60" s="136"/>
      <c r="G60" s="17"/>
      <c r="H60" s="3"/>
      <c r="I60" s="3"/>
      <c r="J60" s="3"/>
      <c r="K60" s="3"/>
      <c r="L60" s="3"/>
      <c r="M60" s="3"/>
      <c r="N60" s="86"/>
      <c r="O60" s="87"/>
      <c r="P60" s="81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2:40" hidden="1" x14ac:dyDescent="0.25">
      <c r="B61" s="22" t="s">
        <v>79</v>
      </c>
      <c r="C61" s="189"/>
      <c r="D61" s="193"/>
      <c r="E61" s="8"/>
      <c r="F61" s="136"/>
      <c r="G61" s="17"/>
      <c r="H61" s="3"/>
      <c r="I61" s="3"/>
      <c r="J61" s="3"/>
      <c r="K61" s="3"/>
      <c r="L61" s="3"/>
      <c r="M61" s="3"/>
      <c r="N61" s="86"/>
      <c r="O61" s="87"/>
      <c r="P61" s="81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2:40" hidden="1" x14ac:dyDescent="0.25">
      <c r="B62" s="22"/>
      <c r="C62" s="189"/>
      <c r="E62" s="8"/>
      <c r="F62" s="136"/>
      <c r="G62" s="17"/>
      <c r="H62" s="3"/>
      <c r="I62" s="3"/>
      <c r="J62" s="3"/>
      <c r="K62" s="3"/>
      <c r="L62" s="3"/>
      <c r="M62" s="3"/>
      <c r="N62" s="86"/>
      <c r="O62" s="87"/>
      <c r="P62" s="81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</row>
    <row r="63" spans="2:40" hidden="1" x14ac:dyDescent="0.25">
      <c r="B63" s="22" t="s">
        <v>80</v>
      </c>
      <c r="C63" s="189"/>
      <c r="D63" s="195">
        <f>D38</f>
        <v>808168.47912940639</v>
      </c>
      <c r="E63" s="8"/>
      <c r="F63" s="6"/>
      <c r="G63" s="17"/>
      <c r="H63" s="3"/>
      <c r="I63" s="3"/>
      <c r="J63" s="3"/>
      <c r="K63" s="3"/>
      <c r="L63" s="3"/>
      <c r="M63" s="3"/>
      <c r="N63" s="86"/>
      <c r="O63" s="87"/>
      <c r="P63" s="81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</row>
    <row r="64" spans="2:40" hidden="1" x14ac:dyDescent="0.25">
      <c r="B64" s="22" t="s">
        <v>10</v>
      </c>
      <c r="C64" s="189"/>
      <c r="D64" s="194">
        <f>D58</f>
        <v>130000</v>
      </c>
      <c r="E64" s="191"/>
      <c r="F64" s="90"/>
      <c r="G64" s="17"/>
      <c r="H64" s="3"/>
      <c r="I64" s="3"/>
      <c r="J64" s="3"/>
      <c r="K64" s="3"/>
      <c r="L64" s="3"/>
      <c r="M64" s="3"/>
      <c r="N64" s="86"/>
      <c r="O64" s="87"/>
      <c r="P64" s="81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</row>
    <row r="65" spans="2:40" hidden="1" x14ac:dyDescent="0.25">
      <c r="B65" s="22" t="s">
        <v>16</v>
      </c>
      <c r="C65" s="189"/>
      <c r="D65" s="170">
        <f>D63-D64</f>
        <v>678168.47912940639</v>
      </c>
      <c r="E65" s="191"/>
      <c r="F65" s="90"/>
      <c r="G65" s="17"/>
      <c r="H65" s="3"/>
      <c r="I65" s="3"/>
      <c r="J65" s="3"/>
      <c r="K65" s="3"/>
      <c r="L65" s="3"/>
      <c r="M65" s="3"/>
      <c r="N65" s="86"/>
      <c r="O65" s="87"/>
      <c r="P65" s="81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</row>
    <row r="66" spans="2:40" hidden="1" x14ac:dyDescent="0.25">
      <c r="B66" s="22" t="s">
        <v>43</v>
      </c>
      <c r="C66" s="189"/>
      <c r="D66" s="170"/>
      <c r="E66" s="191"/>
      <c r="F66" s="90"/>
      <c r="G66" s="17"/>
      <c r="H66" s="3"/>
      <c r="I66" s="3"/>
      <c r="J66" s="3"/>
      <c r="K66" s="3"/>
      <c r="L66" s="3"/>
      <c r="M66" s="3"/>
      <c r="N66" s="86"/>
      <c r="O66" s="87"/>
      <c r="P66" s="81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</row>
    <row r="67" spans="2:40" hidden="1" x14ac:dyDescent="0.25">
      <c r="B67" s="22" t="s">
        <v>81</v>
      </c>
      <c r="C67" s="189"/>
      <c r="D67" s="170"/>
      <c r="E67" s="191"/>
      <c r="F67" s="90"/>
      <c r="G67" s="17"/>
      <c r="H67" s="3"/>
      <c r="I67" s="3"/>
      <c r="J67" s="3"/>
      <c r="K67" s="3"/>
      <c r="L67" s="3"/>
      <c r="M67" s="3"/>
      <c r="N67" s="86"/>
      <c r="O67" s="87"/>
      <c r="P67" s="81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</row>
    <row r="68" spans="2:40" hidden="1" x14ac:dyDescent="0.25">
      <c r="B68" s="22"/>
      <c r="C68" s="10"/>
      <c r="D68" s="192"/>
      <c r="E68" s="19"/>
      <c r="F68" s="90"/>
      <c r="G68" s="17"/>
      <c r="H68" s="3"/>
      <c r="I68" s="3"/>
      <c r="J68" s="3"/>
      <c r="K68" s="3"/>
      <c r="L68" s="3"/>
      <c r="M68" s="3"/>
      <c r="N68" s="86"/>
      <c r="O68" s="87"/>
      <c r="P68" s="81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</row>
    <row r="69" spans="2:40" hidden="1" x14ac:dyDescent="0.25">
      <c r="B69" s="22" t="s">
        <v>82</v>
      </c>
      <c r="C69" s="43"/>
      <c r="D69" s="170" cm="1">
        <f t="array" ref="D69">_xlfn.IFS(D59=24,(D65/24),D59=36,D65/36)</f>
        <v>28257.019963725266</v>
      </c>
      <c r="E69" s="191"/>
      <c r="F69" s="90"/>
      <c r="G69" s="6"/>
      <c r="J69" s="3"/>
      <c r="K69" s="3"/>
      <c r="L69" s="3"/>
      <c r="M69" s="3"/>
      <c r="N69" s="86"/>
      <c r="O69" s="87"/>
      <c r="P69" s="81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</row>
    <row r="70" spans="2:40" hidden="1" x14ac:dyDescent="0.25">
      <c r="B70" s="22" t="s">
        <v>83</v>
      </c>
      <c r="C70" s="43"/>
      <c r="D70" s="170"/>
      <c r="E70" s="191"/>
      <c r="F70" s="90"/>
      <c r="G70" s="17"/>
      <c r="H70" s="3"/>
      <c r="I70" s="3"/>
      <c r="J70" s="3"/>
      <c r="K70" s="3"/>
      <c r="L70" s="3"/>
      <c r="M70" s="3"/>
      <c r="N70" s="86"/>
      <c r="O70" s="87"/>
      <c r="P70" s="81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</row>
    <row r="71" spans="2:40" ht="27" hidden="1" customHeight="1" x14ac:dyDescent="0.25">
      <c r="B71" s="22" t="s">
        <v>84</v>
      </c>
      <c r="C71" s="43"/>
      <c r="D71" s="170"/>
      <c r="E71" s="191"/>
      <c r="F71" s="19"/>
      <c r="G71" s="21"/>
      <c r="H71" s="21"/>
      <c r="I71" s="21"/>
      <c r="J71" s="10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</row>
    <row r="72" spans="2:40" ht="18.75" hidden="1" x14ac:dyDescent="0.25">
      <c r="B72" s="22"/>
      <c r="C72" s="10"/>
      <c r="D72" s="11"/>
      <c r="E72" s="19"/>
      <c r="F72" s="19"/>
      <c r="G72" s="23"/>
      <c r="H72" s="23"/>
      <c r="I72" s="23"/>
      <c r="J72" s="10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</row>
    <row r="73" spans="2:40" x14ac:dyDescent="0.25">
      <c r="B73" s="315" t="s">
        <v>64</v>
      </c>
      <c r="C73" s="315"/>
      <c r="D73" s="315"/>
      <c r="E73" s="315"/>
      <c r="F73" s="315"/>
      <c r="G73" s="315"/>
      <c r="H73" s="10"/>
      <c r="I73" s="10"/>
      <c r="J73" s="10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</row>
    <row r="74" spans="2:40" ht="18.75" x14ac:dyDescent="0.3">
      <c r="B74" s="315" t="s">
        <v>125</v>
      </c>
      <c r="C74" s="315"/>
      <c r="D74" s="315"/>
      <c r="E74" s="315"/>
      <c r="F74" s="315"/>
      <c r="G74" s="315"/>
      <c r="H74" s="20"/>
      <c r="I74" s="20"/>
      <c r="J74" s="10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</row>
    <row r="75" spans="2:40" x14ac:dyDescent="0.25">
      <c r="B75" s="10"/>
      <c r="C75" s="10"/>
      <c r="D75" s="19"/>
      <c r="E75" s="19"/>
      <c r="F75" s="19"/>
      <c r="G75" s="10"/>
      <c r="H75" s="10"/>
      <c r="I75" s="10"/>
      <c r="J75" s="24"/>
      <c r="K75" s="87"/>
      <c r="L75" s="88"/>
      <c r="M75" s="86"/>
      <c r="N75" s="87"/>
      <c r="O75" s="88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2:40" x14ac:dyDescent="0.25">
      <c r="B76" s="10"/>
      <c r="C76" s="10"/>
      <c r="D76" s="19"/>
      <c r="E76" s="19"/>
      <c r="F76" s="19"/>
      <c r="G76" s="10"/>
      <c r="H76" s="10"/>
      <c r="I76" s="10"/>
      <c r="J76" s="10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</row>
    <row r="77" spans="2:40" x14ac:dyDescent="0.25">
      <c r="B77" s="10"/>
      <c r="C77" s="10"/>
      <c r="D77" s="19"/>
      <c r="E77" s="10"/>
      <c r="F77" s="10"/>
      <c r="G77" s="10"/>
      <c r="H77" s="10"/>
      <c r="I77" s="10"/>
      <c r="J77" s="10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</row>
    <row r="78" spans="2:40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</row>
    <row r="79" spans="2:40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</row>
    <row r="80" spans="2:40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</row>
    <row r="81" spans="2:40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</row>
    <row r="82" spans="2:40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</row>
    <row r="83" spans="2:40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</row>
    <row r="84" spans="2:40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</row>
    <row r="85" spans="2:40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</row>
    <row r="86" spans="2:40" x14ac:dyDescent="0.25">
      <c r="C86" s="10"/>
      <c r="D86" s="10"/>
      <c r="E86" s="10"/>
      <c r="F86" s="10"/>
      <c r="G86" s="10"/>
      <c r="H86" s="10"/>
      <c r="I86" s="10"/>
      <c r="J86" s="10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</row>
    <row r="87" spans="2:40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</row>
    <row r="88" spans="2:40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</row>
    <row r="89" spans="2:40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</row>
    <row r="90" spans="2:40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</row>
    <row r="91" spans="2:40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</row>
    <row r="92" spans="2:40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</row>
    <row r="93" spans="2:40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</row>
    <row r="94" spans="2:40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</row>
    <row r="95" spans="2:40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</row>
    <row r="96" spans="2:40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</row>
    <row r="97" spans="2:40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</row>
    <row r="98" spans="2:40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</row>
    <row r="99" spans="2:40" x14ac:dyDescent="0.25">
      <c r="B99" s="10"/>
      <c r="D99" s="10"/>
      <c r="E99" s="10"/>
      <c r="F99" s="10"/>
      <c r="G99" s="10"/>
      <c r="H99" s="10"/>
      <c r="I99" s="10"/>
      <c r="J99" s="10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</row>
    <row r="100" spans="2:40" x14ac:dyDescent="0.25">
      <c r="B100" s="10"/>
      <c r="D100" s="10"/>
      <c r="E100" s="10"/>
      <c r="F100" s="10"/>
      <c r="G100" s="10"/>
      <c r="H100" s="10"/>
      <c r="I100" s="10"/>
      <c r="J100" s="10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</row>
    <row r="101" spans="2:40" x14ac:dyDescent="0.25">
      <c r="B101" s="190"/>
      <c r="D101" s="190"/>
      <c r="E101" s="190"/>
      <c r="F101" s="190"/>
      <c r="G101" s="190"/>
      <c r="H101" s="190"/>
      <c r="I101" s="190"/>
      <c r="J101" s="190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</row>
    <row r="102" spans="2:40" x14ac:dyDescent="0.25">
      <c r="B102" s="240"/>
      <c r="C102" s="235"/>
      <c r="D102" s="241"/>
      <c r="E102" s="241"/>
      <c r="F102" s="241"/>
      <c r="G102" s="241"/>
      <c r="H102" s="241"/>
      <c r="I102" s="241"/>
      <c r="J102" s="241"/>
      <c r="K102" s="235"/>
      <c r="L102" s="235"/>
      <c r="M102" s="235"/>
      <c r="N102" s="235"/>
      <c r="O102" s="23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</row>
    <row r="103" spans="2:40" x14ac:dyDescent="0.25">
      <c r="B103" s="242"/>
      <c r="C103" s="46"/>
      <c r="D103" s="57"/>
      <c r="E103" s="57"/>
      <c r="F103" s="243"/>
      <c r="G103" s="243"/>
      <c r="H103" s="243"/>
      <c r="I103" s="243"/>
      <c r="J103" s="57"/>
      <c r="K103" s="46"/>
      <c r="L103" s="46"/>
      <c r="M103" s="46"/>
      <c r="N103" s="46"/>
      <c r="O103" s="237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</row>
    <row r="104" spans="2:40" x14ac:dyDescent="0.25">
      <c r="B104" s="242"/>
      <c r="C104" s="46"/>
      <c r="D104" s="57"/>
      <c r="E104" s="57"/>
      <c r="F104" s="243"/>
      <c r="G104" s="243"/>
      <c r="H104" s="243"/>
      <c r="I104" s="243"/>
      <c r="J104" s="57"/>
      <c r="K104" s="46"/>
      <c r="L104" s="46"/>
      <c r="M104" s="46"/>
      <c r="N104" s="46"/>
      <c r="O104" s="237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2:40" x14ac:dyDescent="0.25">
      <c r="B105" s="244"/>
      <c r="C105" s="46"/>
      <c r="D105" s="57"/>
      <c r="E105" s="57"/>
      <c r="F105" s="243"/>
      <c r="G105" s="243"/>
      <c r="H105" s="243"/>
      <c r="I105" s="243"/>
      <c r="J105" s="57"/>
      <c r="K105" s="46"/>
      <c r="L105" s="46"/>
      <c r="M105" s="46"/>
      <c r="N105" s="46"/>
      <c r="O105" s="237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</row>
    <row r="106" spans="2:40" x14ac:dyDescent="0.25">
      <c r="B106" s="244"/>
      <c r="C106" s="46"/>
      <c r="D106" s="57"/>
      <c r="E106" s="57"/>
      <c r="F106" s="243"/>
      <c r="G106" s="243"/>
      <c r="H106" s="243"/>
      <c r="I106" s="243"/>
      <c r="J106" s="57"/>
      <c r="K106" s="46"/>
      <c r="L106" s="46"/>
      <c r="M106" s="46"/>
      <c r="N106" s="46"/>
      <c r="O106" s="237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</row>
    <row r="107" spans="2:40" x14ac:dyDescent="0.25">
      <c r="B107" s="244"/>
      <c r="C107" s="46"/>
      <c r="D107" s="57"/>
      <c r="E107" s="57"/>
      <c r="F107" s="243"/>
      <c r="G107" s="243"/>
      <c r="H107" s="243"/>
      <c r="I107" s="243"/>
      <c r="J107" s="57"/>
      <c r="K107" s="46"/>
      <c r="L107" s="46"/>
      <c r="M107" s="46"/>
      <c r="N107" s="46"/>
      <c r="O107" s="237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2:40" x14ac:dyDescent="0.25">
      <c r="B108" s="244"/>
      <c r="C108" s="46"/>
      <c r="D108" s="57"/>
      <c r="E108" s="46"/>
      <c r="F108" s="46"/>
      <c r="G108" s="243"/>
      <c r="H108" s="243"/>
      <c r="I108" s="243"/>
      <c r="J108" s="57"/>
      <c r="K108" s="46"/>
      <c r="L108" s="46"/>
      <c r="M108" s="46"/>
      <c r="N108" s="46"/>
      <c r="O108" s="237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</row>
    <row r="109" spans="2:40" x14ac:dyDescent="0.25">
      <c r="B109" s="244"/>
      <c r="C109" s="46"/>
      <c r="D109" s="46"/>
      <c r="E109" s="46"/>
      <c r="F109" s="46"/>
      <c r="G109" s="243"/>
      <c r="H109" s="243"/>
      <c r="I109" s="243"/>
      <c r="J109" s="57"/>
      <c r="K109" s="46"/>
      <c r="L109" s="46"/>
      <c r="M109" s="46"/>
      <c r="N109" s="46"/>
      <c r="O109" s="237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</row>
    <row r="110" spans="2:40" x14ac:dyDescent="0.25">
      <c r="B110" s="244"/>
      <c r="C110" s="46"/>
      <c r="D110" s="46"/>
      <c r="E110" s="46"/>
      <c r="F110" s="46"/>
      <c r="G110" s="243"/>
      <c r="H110" s="243"/>
      <c r="I110" s="243"/>
      <c r="J110" s="57"/>
      <c r="K110" s="46"/>
      <c r="L110" s="46"/>
      <c r="M110" s="46"/>
      <c r="N110" s="46"/>
      <c r="O110" s="237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</row>
    <row r="111" spans="2:40" x14ac:dyDescent="0.25">
      <c r="B111" s="244"/>
      <c r="C111" s="46"/>
      <c r="D111" s="46"/>
      <c r="E111" s="46"/>
      <c r="F111" s="46"/>
      <c r="G111" s="243"/>
      <c r="H111" s="243"/>
      <c r="I111" s="243"/>
      <c r="J111" s="57"/>
      <c r="K111" s="46"/>
      <c r="L111" s="46"/>
      <c r="M111" s="46"/>
      <c r="N111" s="46"/>
      <c r="O111" s="237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</row>
    <row r="112" spans="2:40" x14ac:dyDescent="0.25">
      <c r="B112" s="244"/>
      <c r="C112" s="46"/>
      <c r="D112" s="46"/>
      <c r="E112" s="46"/>
      <c r="F112" s="46"/>
      <c r="G112" s="243"/>
      <c r="H112" s="243"/>
      <c r="I112" s="243"/>
      <c r="J112" s="57"/>
      <c r="K112" s="46"/>
      <c r="L112" s="46"/>
      <c r="M112" s="46"/>
      <c r="N112" s="46"/>
      <c r="O112" s="237"/>
      <c r="P112" s="46"/>
      <c r="Q112" s="46"/>
      <c r="R112" s="46"/>
    </row>
    <row r="113" spans="2:18" x14ac:dyDescent="0.25">
      <c r="B113" s="244"/>
      <c r="C113" s="46"/>
      <c r="D113" s="46"/>
      <c r="E113" s="46"/>
      <c r="F113" s="46"/>
      <c r="G113" s="243"/>
      <c r="H113" s="243"/>
      <c r="I113" s="243"/>
      <c r="J113" s="57"/>
      <c r="K113" s="46"/>
      <c r="L113" s="46"/>
      <c r="M113" s="46"/>
      <c r="N113" s="46"/>
      <c r="O113" s="237"/>
      <c r="P113" s="46"/>
      <c r="Q113" s="46"/>
      <c r="R113" s="46"/>
    </row>
    <row r="114" spans="2:18" x14ac:dyDescent="0.25">
      <c r="B114" s="244"/>
      <c r="C114" s="46"/>
      <c r="D114" s="46"/>
      <c r="E114" s="46"/>
      <c r="F114" s="46"/>
      <c r="G114" s="243"/>
      <c r="H114" s="243"/>
      <c r="I114" s="243"/>
      <c r="J114" s="57"/>
      <c r="K114" s="46"/>
      <c r="L114" s="46"/>
      <c r="M114" s="46"/>
      <c r="N114" s="46"/>
      <c r="O114" s="237"/>
      <c r="P114" s="46"/>
      <c r="Q114" s="46"/>
      <c r="R114" s="46"/>
    </row>
    <row r="115" spans="2:18" x14ac:dyDescent="0.25">
      <c r="B115" s="244"/>
      <c r="C115" s="46"/>
      <c r="D115" s="46"/>
      <c r="E115" s="46"/>
      <c r="F115" s="46"/>
      <c r="G115" s="243"/>
      <c r="H115" s="243"/>
      <c r="I115" s="243"/>
      <c r="J115" s="57"/>
      <c r="K115" s="46"/>
      <c r="L115" s="46"/>
      <c r="M115" s="46"/>
      <c r="N115" s="46"/>
      <c r="O115" s="237"/>
      <c r="P115" s="46"/>
      <c r="Q115" s="46"/>
      <c r="R115" s="46"/>
    </row>
    <row r="116" spans="2:18" x14ac:dyDescent="0.25">
      <c r="B116" s="244"/>
      <c r="C116" s="46"/>
      <c r="D116" s="46"/>
      <c r="E116" s="46"/>
      <c r="F116" s="46"/>
      <c r="G116" s="243"/>
      <c r="H116" s="243"/>
      <c r="I116" s="243"/>
      <c r="J116" s="57"/>
      <c r="K116" s="46"/>
      <c r="L116" s="46"/>
      <c r="M116" s="46"/>
      <c r="N116" s="46"/>
      <c r="O116" s="237"/>
      <c r="P116" s="46"/>
      <c r="Q116" s="46"/>
      <c r="R116" s="46"/>
    </row>
    <row r="117" spans="2:18" x14ac:dyDescent="0.25">
      <c r="B117" s="244"/>
      <c r="C117" s="46"/>
      <c r="D117" s="46"/>
      <c r="E117" s="46"/>
      <c r="F117" s="46"/>
      <c r="G117" s="243"/>
      <c r="H117" s="243"/>
      <c r="I117" s="243"/>
      <c r="J117" s="57"/>
      <c r="K117" s="46"/>
      <c r="L117" s="46"/>
      <c r="M117" s="46"/>
      <c r="N117" s="46"/>
      <c r="O117" s="237"/>
      <c r="P117" s="46"/>
      <c r="Q117" s="46"/>
      <c r="R117" s="46"/>
    </row>
    <row r="118" spans="2:18" x14ac:dyDescent="0.25">
      <c r="B118" s="244"/>
      <c r="C118" s="46"/>
      <c r="D118" s="46"/>
      <c r="E118" s="46"/>
      <c r="F118" s="46"/>
      <c r="G118" s="243"/>
      <c r="H118" s="243"/>
      <c r="I118" s="243"/>
      <c r="J118" s="57"/>
      <c r="K118" s="46"/>
      <c r="L118" s="46"/>
      <c r="M118" s="46"/>
      <c r="N118" s="46"/>
      <c r="O118" s="237"/>
      <c r="P118" s="46"/>
      <c r="Q118" s="46"/>
      <c r="R118" s="46"/>
    </row>
    <row r="119" spans="2:18" x14ac:dyDescent="0.25">
      <c r="B119" s="244"/>
      <c r="C119" s="46"/>
      <c r="D119" s="46"/>
      <c r="E119" s="46"/>
      <c r="F119" s="46"/>
      <c r="G119" s="243"/>
      <c r="H119" s="243"/>
      <c r="I119" s="243"/>
      <c r="J119" s="57"/>
      <c r="K119" s="46"/>
      <c r="L119" s="46"/>
      <c r="M119" s="46"/>
      <c r="N119" s="46"/>
      <c r="O119" s="237"/>
      <c r="P119" s="46"/>
      <c r="Q119" s="46"/>
      <c r="R119" s="46"/>
    </row>
    <row r="120" spans="2:18" x14ac:dyDescent="0.25">
      <c r="B120" s="244"/>
      <c r="C120" s="46"/>
      <c r="D120" s="46"/>
      <c r="E120" s="46"/>
      <c r="F120" s="46"/>
      <c r="G120" s="243"/>
      <c r="H120" s="243"/>
      <c r="I120" s="243"/>
      <c r="J120" s="57"/>
      <c r="K120" s="46"/>
      <c r="L120" s="46"/>
      <c r="M120" s="46"/>
      <c r="N120" s="46"/>
      <c r="O120" s="237"/>
      <c r="P120" s="46"/>
      <c r="Q120" s="46"/>
      <c r="R120" s="46"/>
    </row>
    <row r="121" spans="2:18" x14ac:dyDescent="0.25">
      <c r="B121" s="244"/>
      <c r="C121" s="46"/>
      <c r="D121" s="46"/>
      <c r="E121" s="46"/>
      <c r="F121" s="46"/>
      <c r="G121" s="243"/>
      <c r="H121" s="243"/>
      <c r="I121" s="243"/>
      <c r="J121" s="57"/>
      <c r="K121" s="46"/>
      <c r="L121" s="46"/>
      <c r="M121" s="46"/>
      <c r="N121" s="46"/>
      <c r="O121" s="237"/>
      <c r="P121" s="46"/>
      <c r="Q121" s="46"/>
      <c r="R121" s="46"/>
    </row>
    <row r="122" spans="2:18" x14ac:dyDescent="0.25">
      <c r="B122" s="244"/>
      <c r="C122" s="46"/>
      <c r="D122" s="46"/>
      <c r="E122" s="46"/>
      <c r="F122" s="46"/>
      <c r="G122" s="243"/>
      <c r="H122" s="243"/>
      <c r="I122" s="243"/>
      <c r="J122" s="57"/>
      <c r="K122" s="46"/>
      <c r="L122" s="46"/>
      <c r="M122" s="46"/>
      <c r="N122" s="46"/>
      <c r="O122" s="237"/>
      <c r="P122" s="46"/>
      <c r="Q122" s="46"/>
      <c r="R122" s="46"/>
    </row>
    <row r="123" spans="2:18" x14ac:dyDescent="0.25">
      <c r="B123" s="244"/>
      <c r="C123" s="46"/>
      <c r="D123" s="46"/>
      <c r="E123" s="46"/>
      <c r="F123" s="46"/>
      <c r="G123" s="243"/>
      <c r="H123" s="243"/>
      <c r="I123" s="243"/>
      <c r="J123" s="57"/>
      <c r="K123" s="46"/>
      <c r="L123" s="46"/>
      <c r="M123" s="46"/>
      <c r="N123" s="46"/>
      <c r="O123" s="237"/>
      <c r="P123" s="46"/>
      <c r="Q123" s="46"/>
      <c r="R123" s="46"/>
    </row>
    <row r="124" spans="2:18" x14ac:dyDescent="0.25">
      <c r="B124" s="244"/>
      <c r="C124" s="46"/>
      <c r="D124" s="46"/>
      <c r="E124" s="46"/>
      <c r="F124" s="46"/>
      <c r="G124" s="243"/>
      <c r="H124" s="243"/>
      <c r="I124" s="243"/>
      <c r="J124" s="57"/>
      <c r="K124" s="46"/>
      <c r="L124" s="46"/>
      <c r="M124" s="46"/>
      <c r="N124" s="46"/>
      <c r="O124" s="237"/>
      <c r="P124" s="46"/>
      <c r="Q124" s="46"/>
      <c r="R124" s="46"/>
    </row>
    <row r="125" spans="2:18" x14ac:dyDescent="0.25">
      <c r="B125" s="244"/>
      <c r="C125" s="46"/>
      <c r="D125" s="46"/>
      <c r="E125" s="46"/>
      <c r="F125" s="46"/>
      <c r="G125" s="243"/>
      <c r="H125" s="243"/>
      <c r="I125" s="243"/>
      <c r="J125" s="57"/>
      <c r="K125" s="46"/>
      <c r="L125" s="46"/>
      <c r="M125" s="46"/>
      <c r="N125" s="46"/>
      <c r="O125" s="237"/>
      <c r="P125" s="46"/>
      <c r="Q125" s="46"/>
      <c r="R125" s="46"/>
    </row>
    <row r="126" spans="2:18" x14ac:dyDescent="0.25">
      <c r="B126" s="244"/>
      <c r="C126" s="46"/>
      <c r="D126" s="46"/>
      <c r="E126" s="46"/>
      <c r="F126" s="46"/>
      <c r="G126" s="243"/>
      <c r="H126" s="243"/>
      <c r="I126" s="243"/>
      <c r="J126" s="57"/>
      <c r="K126" s="46"/>
      <c r="L126" s="46"/>
      <c r="M126" s="46"/>
      <c r="N126" s="46"/>
      <c r="O126" s="237"/>
      <c r="P126" s="46"/>
      <c r="Q126" s="46"/>
      <c r="R126" s="46"/>
    </row>
    <row r="127" spans="2:18" x14ac:dyDescent="0.25">
      <c r="B127" s="245"/>
      <c r="C127" s="238"/>
      <c r="D127" s="238"/>
      <c r="E127" s="238"/>
      <c r="F127" s="238"/>
      <c r="G127" s="246"/>
      <c r="H127" s="246"/>
      <c r="I127" s="246"/>
      <c r="J127" s="247"/>
      <c r="K127" s="238"/>
      <c r="L127" s="238"/>
      <c r="M127" s="238"/>
      <c r="N127" s="238"/>
      <c r="O127" s="239"/>
      <c r="P127" s="46"/>
      <c r="Q127" s="46"/>
      <c r="R127" s="46"/>
    </row>
    <row r="128" spans="2:18" x14ac:dyDescent="0.25">
      <c r="G128" s="15"/>
      <c r="H128" s="15"/>
      <c r="I128" s="15"/>
      <c r="J128" s="16"/>
    </row>
    <row r="129" spans="7:10" x14ac:dyDescent="0.25">
      <c r="G129" s="15"/>
      <c r="H129" s="15"/>
      <c r="I129" s="15"/>
      <c r="J129" s="10"/>
    </row>
    <row r="130" spans="7:10" x14ac:dyDescent="0.25">
      <c r="G130" s="15"/>
      <c r="H130" s="15"/>
      <c r="I130" s="15"/>
      <c r="J130" s="10"/>
    </row>
    <row r="131" spans="7:10" x14ac:dyDescent="0.25">
      <c r="G131" s="15"/>
      <c r="H131" s="15"/>
      <c r="I131" s="15"/>
      <c r="J131" s="10"/>
    </row>
    <row r="132" spans="7:10" x14ac:dyDescent="0.25">
      <c r="G132" s="15"/>
      <c r="H132" s="15"/>
      <c r="I132" s="15"/>
      <c r="J132" s="10"/>
    </row>
    <row r="133" spans="7:10" x14ac:dyDescent="0.25">
      <c r="G133" s="15"/>
      <c r="H133" s="15"/>
      <c r="I133" s="15"/>
      <c r="J133" s="10"/>
    </row>
    <row r="134" spans="7:10" x14ac:dyDescent="0.25">
      <c r="G134" s="15"/>
      <c r="H134" s="15"/>
      <c r="I134" s="15"/>
      <c r="J134" s="10"/>
    </row>
    <row r="135" spans="7:10" x14ac:dyDescent="0.25">
      <c r="G135" s="15"/>
      <c r="H135" s="15"/>
      <c r="I135" s="15"/>
      <c r="J135" s="10"/>
    </row>
    <row r="136" spans="7:10" x14ac:dyDescent="0.25">
      <c r="G136" s="15"/>
      <c r="H136" s="15"/>
      <c r="I136" s="15"/>
      <c r="J136" s="10"/>
    </row>
    <row r="137" spans="7:10" x14ac:dyDescent="0.25">
      <c r="G137" s="15"/>
      <c r="H137" s="15"/>
      <c r="I137" s="15"/>
      <c r="J137" s="10"/>
    </row>
    <row r="138" spans="7:10" x14ac:dyDescent="0.25">
      <c r="G138" s="15"/>
      <c r="H138" s="15"/>
      <c r="I138" s="15"/>
      <c r="J138" s="10"/>
    </row>
    <row r="139" spans="7:10" x14ac:dyDescent="0.25">
      <c r="G139" s="15"/>
      <c r="H139" s="15"/>
      <c r="I139" s="15"/>
      <c r="J139" s="10"/>
    </row>
    <row r="140" spans="7:10" x14ac:dyDescent="0.25">
      <c r="G140" s="15"/>
      <c r="H140" s="15"/>
      <c r="I140" s="15"/>
      <c r="J140" s="10"/>
    </row>
    <row r="141" spans="7:10" x14ac:dyDescent="0.25">
      <c r="G141" s="15"/>
      <c r="H141" s="15"/>
      <c r="I141" s="15"/>
      <c r="J141" s="10"/>
    </row>
    <row r="142" spans="7:10" x14ac:dyDescent="0.25">
      <c r="G142" s="15"/>
      <c r="H142" s="15"/>
      <c r="I142" s="15"/>
      <c r="J142" s="10"/>
    </row>
    <row r="143" spans="7:10" x14ac:dyDescent="0.25">
      <c r="G143" s="15"/>
      <c r="H143" s="15"/>
      <c r="I143" s="15"/>
      <c r="J143" s="10"/>
    </row>
    <row r="144" spans="7:10" x14ac:dyDescent="0.25">
      <c r="G144" s="15"/>
      <c r="H144" s="15"/>
      <c r="I144" s="15"/>
      <c r="J144" s="10"/>
    </row>
    <row r="145" spans="7:10" x14ac:dyDescent="0.25">
      <c r="G145" s="15"/>
      <c r="H145" s="15"/>
      <c r="I145" s="15"/>
      <c r="J145" s="10"/>
    </row>
    <row r="146" spans="7:10" x14ac:dyDescent="0.25">
      <c r="G146" s="15"/>
      <c r="H146" s="15"/>
      <c r="I146" s="15"/>
      <c r="J146" s="10"/>
    </row>
    <row r="147" spans="7:10" x14ac:dyDescent="0.25">
      <c r="G147" s="15"/>
      <c r="H147" s="15"/>
      <c r="I147" s="15"/>
      <c r="J147" s="10"/>
    </row>
    <row r="148" spans="7:10" x14ac:dyDescent="0.25">
      <c r="G148" s="15"/>
      <c r="H148" s="15"/>
      <c r="I148" s="15"/>
      <c r="J148" s="10"/>
    </row>
    <row r="149" spans="7:10" x14ac:dyDescent="0.25">
      <c r="G149" s="15"/>
      <c r="H149" s="15"/>
      <c r="I149" s="15"/>
      <c r="J149" s="10"/>
    </row>
    <row r="150" spans="7:10" x14ac:dyDescent="0.25">
      <c r="G150" s="15"/>
      <c r="H150" s="15"/>
      <c r="I150" s="15"/>
      <c r="J150" s="10"/>
    </row>
    <row r="151" spans="7:10" x14ac:dyDescent="0.25">
      <c r="G151" s="15"/>
      <c r="H151" s="15"/>
      <c r="I151" s="15"/>
      <c r="J151" s="10"/>
    </row>
    <row r="152" spans="7:10" x14ac:dyDescent="0.25">
      <c r="G152" s="15"/>
      <c r="H152" s="15"/>
      <c r="I152" s="15"/>
      <c r="J152" s="10"/>
    </row>
    <row r="153" spans="7:10" x14ac:dyDescent="0.25">
      <c r="G153" s="15"/>
    </row>
    <row r="154" spans="7:10" x14ac:dyDescent="0.25">
      <c r="G154" s="15"/>
    </row>
    <row r="155" spans="7:10" x14ac:dyDescent="0.25">
      <c r="G155" s="15"/>
    </row>
    <row r="156" spans="7:10" x14ac:dyDescent="0.25">
      <c r="G156" s="15"/>
    </row>
    <row r="157" spans="7:10" x14ac:dyDescent="0.25">
      <c r="G157" s="15"/>
    </row>
    <row r="158" spans="7:10" x14ac:dyDescent="0.25">
      <c r="G158" s="15"/>
    </row>
    <row r="159" spans="7:10" x14ac:dyDescent="0.25">
      <c r="G159" s="15"/>
    </row>
    <row r="160" spans="7:10" x14ac:dyDescent="0.25">
      <c r="G160" s="15"/>
    </row>
    <row r="161" spans="7:7" x14ac:dyDescent="0.25">
      <c r="G161" s="15"/>
    </row>
    <row r="162" spans="7:7" x14ac:dyDescent="0.25">
      <c r="G162" s="15"/>
    </row>
    <row r="163" spans="7:7" x14ac:dyDescent="0.25">
      <c r="G163" s="15"/>
    </row>
    <row r="164" spans="7:7" x14ac:dyDescent="0.25">
      <c r="G164" s="15"/>
    </row>
    <row r="165" spans="7:7" x14ac:dyDescent="0.25">
      <c r="G165" s="15"/>
    </row>
    <row r="166" spans="7:7" x14ac:dyDescent="0.25">
      <c r="G166" s="15"/>
    </row>
    <row r="167" spans="7:7" x14ac:dyDescent="0.25">
      <c r="G167" s="16"/>
    </row>
  </sheetData>
  <sheetProtection algorithmName="SHA-512" hashValue="9JnSMzxpbUeQm2u1SfZSJgtJg+f7juk4YAJ+8Mx5GziWDjBraAP+0xNTOW9lLZAD/Wm5PFa7LC2TQdVSWNpCtQ==" saltValue="rZThFV76d2as3xTPm0uA0g==" spinCount="100000" sheet="1" objects="1" scenarios="1"/>
  <mergeCells count="16">
    <mergeCell ref="M6:P6"/>
    <mergeCell ref="L7:L9"/>
    <mergeCell ref="N7:O7"/>
    <mergeCell ref="M8:P8"/>
    <mergeCell ref="M9:N9"/>
    <mergeCell ref="O9:P9"/>
    <mergeCell ref="B73:G73"/>
    <mergeCell ref="B74:G74"/>
    <mergeCell ref="B2:G2"/>
    <mergeCell ref="B3:G3"/>
    <mergeCell ref="K19:L19"/>
    <mergeCell ref="D32:G32"/>
    <mergeCell ref="D33:E33"/>
    <mergeCell ref="F33:G33"/>
    <mergeCell ref="K36:L36"/>
    <mergeCell ref="K38:L40"/>
  </mergeCells>
  <dataValidations count="2">
    <dataValidation allowBlank="1" showDropDown="1" showInputMessage="1" showErrorMessage="1" sqref="D37" xr:uid="{FB853E46-9464-4323-B500-5177A8F2CCEB}"/>
    <dataValidation type="list" allowBlank="1" showInputMessage="1" showErrorMessage="1" sqref="D36 D59" xr:uid="{20C79553-C956-4DCC-9114-4643B7524091}">
      <formula1>"24, 36, 48, 60"</formula1>
    </dataValidation>
  </dataValidations>
  <hyperlinks>
    <hyperlink ref="M9" r:id="rId1" xr:uid="{87CBCEFC-7EA6-4CA9-8BB0-03A7F8308759}"/>
    <hyperlink ref="L7" r:id="rId2" xr:uid="{87F2F27D-1DEB-45B8-8DC9-E15694FEF871}"/>
    <hyperlink ref="D33" r:id="rId3" xr:uid="{45719B8A-83E4-4CF3-8DD0-83367DFBECB6}"/>
    <hyperlink ref="B26" r:id="rId4" xr:uid="{7F9DBDFC-58F6-4E6A-8E89-399D6E0879DF}"/>
  </hyperlinks>
  <pageMargins left="0.7" right="0.7" top="0.75" bottom="0.75" header="0.3" footer="0.3"/>
  <pageSetup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2726-CFF7-4E05-BCE8-59FD95FDC711}">
  <dimension ref="A1:AO172"/>
  <sheetViews>
    <sheetView zoomScaleNormal="100" workbookViewId="0">
      <selection activeCell="D67" sqref="D67"/>
    </sheetView>
  </sheetViews>
  <sheetFormatPr defaultRowHeight="15" x14ac:dyDescent="0.25"/>
  <cols>
    <col min="1" max="1" width="1.5703125" customWidth="1"/>
    <col min="2" max="2" width="36.7109375" customWidth="1"/>
    <col min="3" max="3" width="0.7109375" customWidth="1"/>
    <col min="4" max="4" width="17.85546875" customWidth="1"/>
    <col min="5" max="5" width="17.5703125" customWidth="1"/>
    <col min="6" max="6" width="17.7109375" customWidth="1"/>
    <col min="7" max="7" width="17.42578125" customWidth="1"/>
    <col min="8" max="8" width="15.85546875" customWidth="1"/>
    <col min="9" max="9" width="0.5703125" customWidth="1"/>
    <col min="10" max="10" width="19.140625" hidden="1" customWidth="1"/>
    <col min="11" max="11" width="1.28515625" hidden="1" customWidth="1"/>
    <col min="12" max="12" width="13.42578125" hidden="1" customWidth="1"/>
    <col min="13" max="13" width="12.28515625" hidden="1" customWidth="1"/>
    <col min="14" max="14" width="13" hidden="1" customWidth="1"/>
    <col min="15" max="15" width="13.42578125" hidden="1" customWidth="1"/>
    <col min="16" max="16" width="13" hidden="1" customWidth="1"/>
    <col min="17" max="17" width="17.85546875" hidden="1" customWidth="1"/>
    <col min="18" max="18" width="15.5703125" hidden="1" customWidth="1"/>
    <col min="19" max="19" width="14.7109375" hidden="1" customWidth="1"/>
    <col min="20" max="20" width="13.85546875" hidden="1" customWidth="1"/>
    <col min="21" max="21" width="13" hidden="1" customWidth="1"/>
    <col min="22" max="22" width="12.7109375" hidden="1" customWidth="1"/>
    <col min="23" max="23" width="9.140625" hidden="1" customWidth="1"/>
  </cols>
  <sheetData>
    <row r="1" spans="1:41" ht="3.75" customHeight="1" x14ac:dyDescent="0.25">
      <c r="A1" s="46"/>
      <c r="B1" s="7"/>
      <c r="C1" s="2"/>
      <c r="D1" s="46"/>
      <c r="E1" s="46"/>
      <c r="F1" s="46"/>
      <c r="G1" s="13"/>
      <c r="H1" s="3"/>
      <c r="I1" s="3"/>
      <c r="J1" s="3"/>
      <c r="K1" s="3"/>
      <c r="L1" s="3"/>
      <c r="M1" s="3"/>
      <c r="N1" s="3"/>
      <c r="O1" s="27"/>
      <c r="P1" s="26"/>
      <c r="Q1" s="1"/>
    </row>
    <row r="2" spans="1:41" ht="27" customHeight="1" x14ac:dyDescent="0.25">
      <c r="A2" s="46"/>
      <c r="B2" s="317" t="s">
        <v>97</v>
      </c>
      <c r="C2" s="317"/>
      <c r="D2" s="317"/>
      <c r="E2" s="317"/>
      <c r="F2" s="317"/>
      <c r="G2" s="317"/>
      <c r="H2" s="318"/>
      <c r="I2" s="13"/>
      <c r="J2" s="13"/>
      <c r="K2" s="25"/>
      <c r="L2" s="170">
        <f>D36</f>
        <v>100000</v>
      </c>
      <c r="M2" s="169"/>
      <c r="N2" s="25"/>
      <c r="O2" s="79"/>
      <c r="P2" s="80"/>
      <c r="Q2" s="81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41" ht="18" customHeight="1" x14ac:dyDescent="0.25">
      <c r="A3" s="46"/>
      <c r="B3" s="320" t="s">
        <v>0</v>
      </c>
      <c r="C3" s="320"/>
      <c r="D3" s="320"/>
      <c r="E3" s="320"/>
      <c r="F3" s="320"/>
      <c r="G3" s="320"/>
      <c r="H3" s="321"/>
      <c r="I3" s="13"/>
      <c r="J3" s="13"/>
      <c r="K3" s="25"/>
      <c r="L3" s="94">
        <f>D8-D9+D60</f>
        <v>46000</v>
      </c>
      <c r="M3" s="169"/>
      <c r="N3" s="25"/>
      <c r="O3" s="82"/>
      <c r="P3" s="83"/>
      <c r="Q3" s="81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1" ht="1.5" hidden="1" customHeight="1" x14ac:dyDescent="0.25">
      <c r="A4" s="46"/>
      <c r="B4" s="9"/>
      <c r="C4" s="73"/>
      <c r="D4" s="74"/>
      <c r="E4" s="72"/>
      <c r="F4" s="72"/>
      <c r="G4" s="17"/>
      <c r="H4" s="17"/>
      <c r="I4" s="17"/>
      <c r="J4" s="17"/>
      <c r="K4" s="25"/>
      <c r="L4" s="94"/>
      <c r="M4" s="169"/>
      <c r="N4" s="25"/>
      <c r="O4" s="82"/>
      <c r="P4" s="83"/>
      <c r="Q4" s="81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ht="4.5" hidden="1" customHeight="1" x14ac:dyDescent="0.25">
      <c r="A5" s="46"/>
      <c r="C5" s="43"/>
      <c r="D5" s="46"/>
      <c r="E5" s="46"/>
      <c r="F5" s="46"/>
      <c r="G5" s="17"/>
      <c r="H5" s="17"/>
      <c r="I5" s="17"/>
      <c r="J5" s="17"/>
      <c r="K5" s="25"/>
      <c r="L5" s="94"/>
      <c r="M5" s="169"/>
      <c r="N5" s="25"/>
      <c r="O5" s="82"/>
      <c r="P5" s="83"/>
      <c r="Q5" s="81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ht="19.5" customHeight="1" thickBot="1" x14ac:dyDescent="0.35">
      <c r="A6" s="46"/>
      <c r="B6" s="47" t="s">
        <v>1</v>
      </c>
      <c r="C6" s="44"/>
      <c r="D6" s="45"/>
      <c r="E6" s="45"/>
      <c r="F6" s="45"/>
      <c r="G6" s="17"/>
      <c r="H6" s="17"/>
      <c r="I6" s="17"/>
      <c r="J6" s="17"/>
      <c r="K6" s="25"/>
      <c r="L6" s="94"/>
      <c r="M6" s="169"/>
      <c r="N6" s="25"/>
      <c r="O6" s="79"/>
      <c r="P6" s="80"/>
      <c r="Q6" s="46" t="s">
        <v>9</v>
      </c>
      <c r="R6" s="46">
        <v>0.24283750000000001</v>
      </c>
      <c r="S6" s="46">
        <v>0.16118199999999999</v>
      </c>
      <c r="T6" s="46">
        <v>0.13375989999999999</v>
      </c>
      <c r="U6" s="46">
        <v>0.12901662</v>
      </c>
      <c r="V6" s="302">
        <v>0.11875331</v>
      </c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41" ht="19.5" customHeight="1" thickBot="1" x14ac:dyDescent="0.3">
      <c r="A7" s="46"/>
      <c r="B7" s="48" t="s">
        <v>3</v>
      </c>
      <c r="C7" s="8"/>
      <c r="D7" s="144" t="s">
        <v>4</v>
      </c>
      <c r="F7" s="46"/>
      <c r="G7" s="13"/>
      <c r="H7" s="13"/>
      <c r="I7" s="13"/>
      <c r="J7" s="13"/>
      <c r="K7" s="25"/>
      <c r="L7" s="94"/>
      <c r="M7" s="169"/>
      <c r="N7" s="25"/>
      <c r="O7" s="82"/>
      <c r="P7" s="83"/>
      <c r="Q7" s="46" t="s">
        <v>13</v>
      </c>
      <c r="R7" s="265">
        <f>D12-R26</f>
        <v>40480</v>
      </c>
      <c r="S7" s="265">
        <f>D12-S26</f>
        <v>39100</v>
      </c>
      <c r="T7" s="265">
        <f>D12-T26</f>
        <v>37733.75</v>
      </c>
      <c r="U7" s="265">
        <f>D12-U26</f>
        <v>37733.75</v>
      </c>
      <c r="V7" s="265">
        <f>D12-V26</f>
        <v>37733.75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</row>
    <row r="8" spans="1:41" ht="20.25" customHeight="1" thickBot="1" x14ac:dyDescent="0.35">
      <c r="A8" s="46"/>
      <c r="B8" s="49" t="s">
        <v>7</v>
      </c>
      <c r="C8" s="44"/>
      <c r="D8" s="145">
        <v>57000</v>
      </c>
      <c r="E8" s="46"/>
      <c r="F8" s="46"/>
      <c r="G8" s="13"/>
      <c r="H8" s="13"/>
      <c r="I8" s="13"/>
      <c r="J8" s="13"/>
      <c r="K8" s="25"/>
      <c r="L8" s="94"/>
      <c r="M8" s="169"/>
      <c r="N8" s="25"/>
      <c r="O8" s="82"/>
      <c r="P8" s="83"/>
      <c r="Q8" t="s">
        <v>15</v>
      </c>
      <c r="R8" s="46">
        <v>12</v>
      </c>
      <c r="S8" s="46">
        <v>24</v>
      </c>
      <c r="T8" s="46">
        <v>36</v>
      </c>
      <c r="U8" s="46">
        <v>48</v>
      </c>
      <c r="V8" s="46">
        <v>60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41" ht="20.25" customHeight="1" thickBot="1" x14ac:dyDescent="0.3">
      <c r="A9" s="46"/>
      <c r="B9" s="50" t="s">
        <v>10</v>
      </c>
      <c r="C9" s="44"/>
      <c r="D9" s="145">
        <v>11000</v>
      </c>
      <c r="E9" s="51"/>
      <c r="F9" s="89"/>
      <c r="G9" s="13"/>
      <c r="H9" s="13"/>
      <c r="I9" s="13"/>
      <c r="J9" s="13"/>
      <c r="K9" s="25"/>
      <c r="L9" s="94"/>
      <c r="M9" s="169"/>
      <c r="N9" s="25"/>
      <c r="O9" s="82"/>
      <c r="P9" s="83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1:41" ht="20.25" customHeight="1" thickBot="1" x14ac:dyDescent="0.3">
      <c r="A10" s="46"/>
      <c r="B10" s="50" t="s">
        <v>14</v>
      </c>
      <c r="C10" s="258"/>
      <c r="D10" s="145">
        <v>40411.75</v>
      </c>
      <c r="E10" s="51"/>
      <c r="F10" s="89"/>
      <c r="G10" s="17"/>
      <c r="H10" s="17"/>
      <c r="I10" s="17"/>
      <c r="J10" s="17"/>
      <c r="K10" s="25"/>
      <c r="L10" s="94"/>
      <c r="M10" s="169"/>
      <c r="N10" s="25"/>
      <c r="O10" s="82"/>
      <c r="P10" s="83"/>
      <c r="Q10" s="46" t="s">
        <v>17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ht="15" customHeight="1" x14ac:dyDescent="0.25">
      <c r="A11" s="46"/>
      <c r="B11" s="28"/>
      <c r="C11" s="53"/>
      <c r="D11" s="54"/>
      <c r="E11" s="19"/>
      <c r="F11" s="90"/>
      <c r="G11" s="17"/>
      <c r="H11" s="17"/>
      <c r="I11" s="17"/>
      <c r="J11" s="17"/>
      <c r="K11" s="25"/>
      <c r="L11" s="94"/>
      <c r="M11" s="169"/>
      <c r="N11" s="25"/>
      <c r="O11" s="82"/>
      <c r="P11" s="83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ht="20.25" customHeight="1" x14ac:dyDescent="0.3">
      <c r="A12" s="46"/>
      <c r="B12" s="59" t="s">
        <v>16</v>
      </c>
      <c r="C12" s="55"/>
      <c r="D12" s="60">
        <f>D8-D9</f>
        <v>46000</v>
      </c>
      <c r="E12" s="52"/>
      <c r="F12" s="91"/>
      <c r="G12" s="13"/>
      <c r="H12" s="13"/>
      <c r="I12" s="13"/>
      <c r="J12" s="13"/>
      <c r="K12" s="21"/>
      <c r="L12" s="14"/>
      <c r="M12" s="21"/>
      <c r="N12" s="106"/>
      <c r="O12" s="82"/>
      <c r="P12" s="83"/>
      <c r="Q12" s="46" t="s">
        <v>23</v>
      </c>
      <c r="R12" s="265">
        <f>PMT(R6/12,R8,-R7)</f>
        <v>3833.3332875427577</v>
      </c>
      <c r="S12" s="265">
        <f>PMT(S6/12,S8,-S7)</f>
        <v>1916.6666084608867</v>
      </c>
      <c r="T12" s="265">
        <f>PMT(T6/12,T8,-T7)</f>
        <v>1278.2435110080739</v>
      </c>
      <c r="U12" s="265">
        <f>PMT(U6/12,U8,-U7)</f>
        <v>1010.4612990712012</v>
      </c>
      <c r="V12" s="265">
        <f>PMT(V6/12,V8,-V7)</f>
        <v>836.99116286666163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ht="8.25" customHeight="1" thickBot="1" x14ac:dyDescent="0.3">
      <c r="A13" s="46"/>
      <c r="B13" s="2"/>
      <c r="C13" s="56"/>
      <c r="D13" s="46"/>
      <c r="E13" s="46"/>
      <c r="F13" s="46"/>
      <c r="G13" s="13"/>
      <c r="H13" s="13"/>
      <c r="I13" s="13"/>
      <c r="J13" s="13"/>
      <c r="K13" s="21"/>
      <c r="L13" s="95" t="s">
        <v>98</v>
      </c>
      <c r="M13" s="104" t="s">
        <v>19</v>
      </c>
      <c r="N13" s="108" t="s">
        <v>34</v>
      </c>
      <c r="O13" s="109" t="s">
        <v>99</v>
      </c>
      <c r="P13" s="290" t="s">
        <v>100</v>
      </c>
      <c r="Q13" s="46" t="s">
        <v>26</v>
      </c>
      <c r="R13" s="269">
        <f>RATE(R8,R12,-D12)</f>
        <v>-7.7122819034483747E-10</v>
      </c>
      <c r="S13" s="269">
        <f>RATE(S8,S12,-D12)</f>
        <v>-1.6625062364997262E-9</v>
      </c>
      <c r="T13" s="269">
        <f>RATE(T8,T12,-D12)</f>
        <v>1.9699729722308352E-5</v>
      </c>
      <c r="U13" s="269">
        <f>RATE(U8,U12,-D12)</f>
        <v>2.1829007714192321E-3</v>
      </c>
      <c r="V13" s="269">
        <f>RATE(V8,V12,-D12)</f>
        <v>2.9235793275643866E-3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ht="19.5" customHeight="1" thickBot="1" x14ac:dyDescent="0.35">
      <c r="A14" s="46"/>
      <c r="B14" s="62" t="s">
        <v>78</v>
      </c>
      <c r="C14" s="61"/>
      <c r="D14" s="146">
        <v>165325</v>
      </c>
      <c r="E14" s="46"/>
      <c r="F14" s="46"/>
      <c r="G14" s="13"/>
      <c r="H14" s="17"/>
      <c r="I14" s="17"/>
      <c r="J14" s="17"/>
      <c r="K14" s="96" t="s">
        <v>25</v>
      </c>
      <c r="L14" s="116">
        <f>D12*0.12</f>
        <v>5520</v>
      </c>
      <c r="M14" s="115">
        <f>D12*0.15</f>
        <v>6900</v>
      </c>
      <c r="N14" s="110">
        <f>D12*0.18</f>
        <v>8280</v>
      </c>
      <c r="O14" s="111">
        <f>D12*0.19</f>
        <v>8740</v>
      </c>
      <c r="P14" s="289">
        <f>D12*0.21</f>
        <v>9660</v>
      </c>
      <c r="Q14" s="46" t="s">
        <v>31</v>
      </c>
      <c r="R14" s="274">
        <f>R13*12</f>
        <v>-9.2547382841380492E-9</v>
      </c>
      <c r="S14" s="274">
        <f>S13*12</f>
        <v>-1.9950074837996714E-8</v>
      </c>
      <c r="T14" s="274">
        <f t="shared" ref="T14:V14" si="0">T13*12</f>
        <v>2.3639675666770022E-4</v>
      </c>
      <c r="U14" s="274">
        <f t="shared" si="0"/>
        <v>2.6194809257030785E-2</v>
      </c>
      <c r="V14" s="274">
        <f t="shared" si="0"/>
        <v>3.5082951930772641E-2</v>
      </c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ht="9" customHeight="1" x14ac:dyDescent="0.25">
      <c r="A15" s="46"/>
      <c r="B15" s="46"/>
      <c r="C15" s="58"/>
      <c r="D15" s="46"/>
      <c r="E15" s="46"/>
      <c r="F15" s="46"/>
      <c r="G15" s="34"/>
      <c r="H15" s="3"/>
      <c r="I15" s="3"/>
      <c r="J15" s="3"/>
      <c r="K15" s="97"/>
      <c r="L15" s="38" t="s">
        <v>101</v>
      </c>
      <c r="M15" s="104" t="s">
        <v>28</v>
      </c>
      <c r="N15" s="112" t="s">
        <v>34</v>
      </c>
      <c r="O15" s="109" t="s">
        <v>102</v>
      </c>
      <c r="P15" s="291" t="s">
        <v>100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ht="19.5" customHeight="1" x14ac:dyDescent="0.3">
      <c r="A16" s="46"/>
      <c r="B16" s="47" t="s">
        <v>32</v>
      </c>
      <c r="C16" s="63"/>
      <c r="D16" s="46"/>
      <c r="E16" s="46"/>
      <c r="F16" s="46"/>
      <c r="G16" s="13"/>
      <c r="H16" s="3"/>
      <c r="I16" s="3"/>
      <c r="J16" s="3"/>
      <c r="K16" s="97"/>
      <c r="L16" s="116">
        <f>K24</f>
        <v>8266.25</v>
      </c>
      <c r="M16" s="115">
        <f>K24</f>
        <v>8266.25</v>
      </c>
      <c r="N16" s="114">
        <f>K24</f>
        <v>8266.25</v>
      </c>
      <c r="O16" s="111">
        <f>K24</f>
        <v>8266.25</v>
      </c>
      <c r="P16" s="293">
        <f>K24</f>
        <v>8266.25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ht="19.5" customHeight="1" x14ac:dyDescent="0.45">
      <c r="A17" s="46"/>
      <c r="B17" s="248"/>
      <c r="C17" s="46"/>
      <c r="D17" s="65" t="s">
        <v>103</v>
      </c>
      <c r="E17" s="66" t="s">
        <v>33</v>
      </c>
      <c r="F17" s="65" t="s">
        <v>34</v>
      </c>
      <c r="G17" s="65" t="s">
        <v>35</v>
      </c>
      <c r="H17" s="65" t="s">
        <v>36</v>
      </c>
      <c r="I17" s="92"/>
      <c r="J17" s="92"/>
      <c r="K17" s="96" t="s">
        <v>37</v>
      </c>
      <c r="L17" s="331" t="s">
        <v>104</v>
      </c>
      <c r="M17" s="332"/>
      <c r="N17" s="3"/>
      <c r="O17" s="86"/>
      <c r="P17" s="83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ht="19.5" hidden="1" customHeight="1" x14ac:dyDescent="0.25">
      <c r="A18" s="46"/>
      <c r="B18" s="67" t="s">
        <v>39</v>
      </c>
      <c r="C18" s="46"/>
      <c r="D18" s="75" t="str">
        <f>IF(D12&lt;250000, "Yes", "No")</f>
        <v>Yes</v>
      </c>
      <c r="E18" s="75" t="str">
        <f>IF(D12&lt;250000, "Yes", "No")</f>
        <v>Yes</v>
      </c>
      <c r="F18" s="75" t="str">
        <f>IF(D12&lt;250000, "Yes", "No")</f>
        <v>Yes</v>
      </c>
      <c r="G18" s="75" t="str">
        <f>IF(D12&lt;250000, "Yes", "No")</f>
        <v>Yes</v>
      </c>
      <c r="H18" s="3"/>
      <c r="I18" s="3"/>
      <c r="J18" s="3"/>
      <c r="K18" s="97"/>
      <c r="L18" s="39" t="s">
        <v>40</v>
      </c>
      <c r="M18" s="105" t="s">
        <v>41</v>
      </c>
      <c r="N18" s="108">
        <v>48</v>
      </c>
      <c r="O18" s="113">
        <v>60</v>
      </c>
      <c r="P18" s="83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ht="19.5" customHeight="1" x14ac:dyDescent="0.3">
      <c r="A19" s="46"/>
      <c r="B19" s="179" t="s">
        <v>43</v>
      </c>
      <c r="C19" s="46"/>
      <c r="D19" s="252">
        <f>L23+L30</f>
        <v>0</v>
      </c>
      <c r="E19" s="153">
        <f>M23+M30</f>
        <v>0</v>
      </c>
      <c r="F19" s="154">
        <f>N23+N30</f>
        <v>13.75</v>
      </c>
      <c r="G19" s="155">
        <f>O23+O30</f>
        <v>473.75</v>
      </c>
      <c r="H19" s="132">
        <f>P23+P30</f>
        <v>1393.75</v>
      </c>
      <c r="I19" s="3"/>
      <c r="J19" s="3"/>
      <c r="K19" s="3"/>
      <c r="L19" s="118">
        <f>L14/D14</f>
        <v>3.3388779676394982E-2</v>
      </c>
      <c r="M19" s="119">
        <f>M14/D14</f>
        <v>4.1735974595493726E-2</v>
      </c>
      <c r="N19" s="117">
        <f>N14/D14</f>
        <v>5.008316951459247E-2</v>
      </c>
      <c r="O19" s="120">
        <f>O14/D14</f>
        <v>5.286556782095872E-2</v>
      </c>
      <c r="P19" s="120">
        <f>P14/D14</f>
        <v>5.8430364433691213E-2</v>
      </c>
      <c r="Q19" s="46" t="s">
        <v>43</v>
      </c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:41" ht="19.5" customHeight="1" x14ac:dyDescent="0.3">
      <c r="A20" s="46"/>
      <c r="B20" s="49" t="s">
        <v>45</v>
      </c>
      <c r="C20" s="46"/>
      <c r="D20" s="156">
        <f>D12-D19</f>
        <v>46000</v>
      </c>
      <c r="E20" s="156">
        <f>D12-E19</f>
        <v>46000</v>
      </c>
      <c r="F20" s="156">
        <f>D12-F19</f>
        <v>45986.25</v>
      </c>
      <c r="G20" s="156">
        <f>D12-G19</f>
        <v>45526.25</v>
      </c>
      <c r="H20" s="185">
        <f>D12-H19</f>
        <v>44606.25</v>
      </c>
      <c r="I20" s="3"/>
      <c r="J20" s="3"/>
      <c r="K20" s="98" t="s">
        <v>16</v>
      </c>
      <c r="L20" s="31" t="s">
        <v>44</v>
      </c>
      <c r="M20" s="30"/>
      <c r="N20" s="107"/>
      <c r="O20" s="82"/>
      <c r="P20" s="83"/>
      <c r="Q20" s="46" t="s">
        <v>45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:41" ht="6.75" customHeight="1" x14ac:dyDescent="0.25">
      <c r="A21" s="46"/>
      <c r="B21" s="46"/>
      <c r="C21" s="46"/>
      <c r="D21" s="46"/>
      <c r="E21" s="46"/>
      <c r="F21" s="46"/>
      <c r="G21" s="13"/>
      <c r="H21" s="3"/>
      <c r="I21" s="3"/>
      <c r="J21" s="3"/>
      <c r="K21" s="97"/>
      <c r="L21" s="29" t="s">
        <v>46</v>
      </c>
      <c r="M21" s="10"/>
      <c r="N21" s="25"/>
      <c r="O21" s="82"/>
      <c r="P21" s="83"/>
      <c r="Q21" s="46"/>
      <c r="R21" s="46"/>
      <c r="S21" s="248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ht="19.5" customHeight="1" x14ac:dyDescent="0.3">
      <c r="A22" s="46"/>
      <c r="B22" s="47" t="s">
        <v>47</v>
      </c>
      <c r="C22" s="2"/>
      <c r="D22" s="46"/>
      <c r="E22" s="46"/>
      <c r="F22" s="46"/>
      <c r="G22" s="13"/>
      <c r="H22" s="3"/>
      <c r="I22" s="3"/>
      <c r="J22" s="3"/>
      <c r="K22" s="2"/>
      <c r="L22" s="37" t="s">
        <v>48</v>
      </c>
      <c r="M22" s="37" t="s">
        <v>49</v>
      </c>
      <c r="N22" s="122" t="s">
        <v>50</v>
      </c>
      <c r="O22" s="121" t="s">
        <v>50</v>
      </c>
      <c r="P22" s="294" t="s">
        <v>51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ht="18" customHeight="1" x14ac:dyDescent="0.3">
      <c r="A23" s="46"/>
      <c r="B23" s="249" t="s">
        <v>52</v>
      </c>
      <c r="C23" s="2"/>
      <c r="D23" s="76" t="s">
        <v>103</v>
      </c>
      <c r="E23" s="77" t="s">
        <v>33</v>
      </c>
      <c r="F23" s="76" t="s">
        <v>105</v>
      </c>
      <c r="G23" s="65" t="s">
        <v>35</v>
      </c>
      <c r="H23" s="65" t="s">
        <v>36</v>
      </c>
      <c r="I23" s="92"/>
      <c r="J23" s="92"/>
      <c r="K23" s="99" t="s">
        <v>54</v>
      </c>
      <c r="L23" s="35" t="str">
        <f>IF(OR(D53&gt;"0",D53&gt;0), D53,"0")</f>
        <v>0</v>
      </c>
      <c r="M23" s="35" t="str">
        <f>IF(OR(E53&gt;"0",E53&gt;0), E53,"0")</f>
        <v>0</v>
      </c>
      <c r="N23" s="35">
        <f>IF(OR(F53&gt;"0",F53&gt;0), F53,"0")</f>
        <v>13.75</v>
      </c>
      <c r="O23" s="292">
        <f>IF(OR(G53&gt;"0",G53&gt;0), G53,"0")</f>
        <v>473.75</v>
      </c>
      <c r="P23" s="292">
        <f>IF(OR(H53&gt;"0",H53&gt;0), H53,"0")</f>
        <v>1393.75</v>
      </c>
      <c r="Q23" s="46" t="s">
        <v>55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:41" ht="22.5" hidden="1" x14ac:dyDescent="0.45">
      <c r="A24" s="46"/>
      <c r="B24" s="67" t="s">
        <v>39</v>
      </c>
      <c r="C24" s="2"/>
      <c r="D24" s="75" t="str">
        <f>IF(D12&lt;250000, "Yes", "No")</f>
        <v>Yes</v>
      </c>
      <c r="E24" s="75" t="str">
        <f>IF(D12&lt;250000, "Yes", "No")</f>
        <v>Yes</v>
      </c>
      <c r="F24" s="75"/>
      <c r="G24" s="94"/>
      <c r="H24" s="94"/>
      <c r="I24" s="3"/>
      <c r="J24" s="3"/>
      <c r="K24" s="100">
        <f>D14*0.05</f>
        <v>8266.25</v>
      </c>
      <c r="L24" s="41" t="s">
        <v>56</v>
      </c>
      <c r="M24" s="36"/>
      <c r="N24" s="107"/>
      <c r="O24" s="82"/>
      <c r="P24" s="83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ht="18.75" customHeight="1" x14ac:dyDescent="0.25">
      <c r="A25" s="46"/>
      <c r="B25" s="179" t="s">
        <v>57</v>
      </c>
      <c r="C25" s="2"/>
      <c r="D25" s="129">
        <f>D12/12</f>
        <v>3833.3333333333335</v>
      </c>
      <c r="E25" s="130">
        <f>D12/24</f>
        <v>1916.6666666666667</v>
      </c>
      <c r="F25" s="129">
        <f>D12/36</f>
        <v>1277.7777777777778</v>
      </c>
      <c r="G25" s="132">
        <f>PMT(G57/12,G58,-D12)</f>
        <v>997.77493899039189</v>
      </c>
      <c r="H25" s="132">
        <f>PMT(H57/12,H58,-D12)</f>
        <v>806.07574023042639</v>
      </c>
      <c r="I25" s="3"/>
      <c r="J25" s="3"/>
      <c r="K25" s="100"/>
      <c r="L25" s="31" t="s">
        <v>58</v>
      </c>
      <c r="M25" s="17"/>
      <c r="N25" s="106"/>
      <c r="O25" s="82"/>
      <c r="P25" s="83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ht="18.75" customHeight="1" x14ac:dyDescent="0.25">
      <c r="A26" s="46"/>
      <c r="B26" s="179" t="s">
        <v>106</v>
      </c>
      <c r="C26" s="2"/>
      <c r="D26" s="129">
        <f>D10/12</f>
        <v>3367.6458333333335</v>
      </c>
      <c r="E26" s="129">
        <f>D10/12</f>
        <v>3367.6458333333335</v>
      </c>
      <c r="F26" s="129">
        <f>D10/12</f>
        <v>3367.6458333333335</v>
      </c>
      <c r="G26" s="132">
        <f>D10/12</f>
        <v>3367.6458333333335</v>
      </c>
      <c r="H26" s="132">
        <f>D10/12</f>
        <v>3367.6458333333335</v>
      </c>
      <c r="I26" s="3"/>
      <c r="J26" s="3"/>
      <c r="K26" s="100"/>
      <c r="L26" s="199"/>
      <c r="M26" s="3"/>
      <c r="N26" s="3"/>
      <c r="O26" s="86"/>
      <c r="P26" s="87"/>
      <c r="Q26" s="46" t="s">
        <v>60</v>
      </c>
      <c r="R26" s="265">
        <f>MIN(L14,L16)</f>
        <v>5520</v>
      </c>
      <c r="S26" s="265">
        <f t="shared" ref="S26:V26" si="1">MIN(M14,M16)</f>
        <v>6900</v>
      </c>
      <c r="T26" s="265">
        <f t="shared" si="1"/>
        <v>8266.25</v>
      </c>
      <c r="U26" s="265">
        <f t="shared" si="1"/>
        <v>8266.25</v>
      </c>
      <c r="V26" s="265">
        <f t="shared" si="1"/>
        <v>8266.25</v>
      </c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ht="18.75" customHeight="1" x14ac:dyDescent="0.25">
      <c r="A27" s="46"/>
      <c r="B27" s="179" t="s">
        <v>61</v>
      </c>
      <c r="C27" s="2"/>
      <c r="D27" s="129">
        <f>D26-D25</f>
        <v>-465.6875</v>
      </c>
      <c r="E27" s="129">
        <f t="shared" ref="E27:H27" si="2">E26-E25</f>
        <v>1450.9791666666667</v>
      </c>
      <c r="F27" s="129">
        <f t="shared" si="2"/>
        <v>2089.8680555555557</v>
      </c>
      <c r="G27" s="129">
        <f t="shared" si="2"/>
        <v>2369.8708943429415</v>
      </c>
      <c r="H27" s="129">
        <f t="shared" si="2"/>
        <v>2561.5700931029069</v>
      </c>
      <c r="I27" s="3"/>
      <c r="J27" s="3"/>
      <c r="K27" s="100"/>
      <c r="L27" s="199"/>
      <c r="M27" s="3"/>
      <c r="N27" s="3"/>
      <c r="O27" s="86"/>
      <c r="P27" s="87"/>
      <c r="Q27" s="81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pans="1:41" ht="9" customHeight="1" x14ac:dyDescent="0.25">
      <c r="A28" s="46"/>
      <c r="B28" s="231"/>
      <c r="C28" s="2"/>
      <c r="D28" s="250"/>
      <c r="E28" s="251"/>
      <c r="F28" s="251"/>
      <c r="G28" s="223"/>
      <c r="H28" s="3"/>
      <c r="I28" s="3"/>
      <c r="J28" s="3"/>
      <c r="K28" s="100"/>
      <c r="L28" s="199"/>
      <c r="M28" s="3"/>
      <c r="N28" s="3"/>
      <c r="O28" s="86"/>
      <c r="P28" s="87"/>
      <c r="Q28" s="81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:41" ht="20.25" customHeight="1" x14ac:dyDescent="0.35">
      <c r="A29" s="46"/>
      <c r="B29" s="224" t="s">
        <v>107</v>
      </c>
      <c r="C29" s="137"/>
      <c r="D29" s="278" t="s">
        <v>63</v>
      </c>
      <c r="E29" s="279"/>
      <c r="F29" s="279"/>
      <c r="G29" s="279"/>
      <c r="H29" s="283"/>
      <c r="I29" s="17"/>
      <c r="J29" s="13"/>
      <c r="K29" s="101" t="s">
        <v>48</v>
      </c>
      <c r="L29" s="37" t="s">
        <v>48</v>
      </c>
      <c r="M29" s="123" t="s">
        <v>49</v>
      </c>
      <c r="N29" s="125"/>
      <c r="O29" s="126"/>
      <c r="P29" s="29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ht="32.25" customHeight="1" x14ac:dyDescent="0.35">
      <c r="A30" s="46"/>
      <c r="B30" s="225"/>
      <c r="C30" s="138"/>
      <c r="D30" s="280" t="s">
        <v>11</v>
      </c>
      <c r="E30" s="281"/>
      <c r="F30" s="282" t="s">
        <v>12</v>
      </c>
      <c r="G30" s="282"/>
      <c r="H30" s="284"/>
      <c r="I30" s="69"/>
      <c r="J30" s="69"/>
      <c r="L30" s="40" t="str">
        <f>IF(OR(D54&gt;"0",D54&gt;0),D55, "0")</f>
        <v>0</v>
      </c>
      <c r="M30" s="124" t="str">
        <f>IF(OR(D54&gt;"0",D54&gt;0),E55, "0")</f>
        <v>0</v>
      </c>
      <c r="N30" s="124" t="str">
        <f>IF(OR(D54&gt;"0",D54&gt;0),F55, "0")</f>
        <v>0</v>
      </c>
      <c r="O30" s="40" t="str">
        <f>IF(OR(EE9&gt;"0",D54&gt;0),G55, "0")</f>
        <v>0</v>
      </c>
      <c r="P30" s="19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1:41" ht="3.75" customHeight="1" x14ac:dyDescent="0.35">
      <c r="A31" s="46"/>
      <c r="B31" s="225"/>
      <c r="C31" s="229"/>
      <c r="D31" s="285"/>
      <c r="E31" s="285"/>
      <c r="F31" s="47"/>
      <c r="G31" s="47"/>
      <c r="H31" s="69"/>
      <c r="I31" s="69"/>
      <c r="J31" s="69"/>
      <c r="L31" s="42" t="s">
        <v>66</v>
      </c>
      <c r="M31" s="42"/>
      <c r="N31" s="82"/>
      <c r="O31" s="83"/>
      <c r="P31" s="81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1:41" x14ac:dyDescent="0.25">
      <c r="A32" s="347" t="s">
        <v>64</v>
      </c>
      <c r="B32" s="347"/>
      <c r="C32" s="347"/>
      <c r="D32" s="347"/>
      <c r="E32" s="347"/>
      <c r="F32" s="347"/>
      <c r="G32" s="347"/>
      <c r="H32" s="347"/>
      <c r="I32" s="70"/>
      <c r="J32" s="70"/>
      <c r="L32" s="319"/>
      <c r="M32" s="319"/>
      <c r="N32" s="82"/>
      <c r="O32" s="83"/>
      <c r="P32" s="81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41" x14ac:dyDescent="0.25">
      <c r="A33" s="347" t="s">
        <v>108</v>
      </c>
      <c r="B33" s="347"/>
      <c r="C33" s="347"/>
      <c r="D33" s="347"/>
      <c r="E33" s="347"/>
      <c r="F33" s="347"/>
      <c r="G33" s="347"/>
      <c r="H33" s="347"/>
      <c r="I33" s="347"/>
      <c r="J33" s="71"/>
      <c r="L33" s="346"/>
      <c r="M33" s="329"/>
      <c r="N33" s="82"/>
      <c r="O33" s="83"/>
      <c r="P33" s="81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:41" ht="11.25" customHeight="1" x14ac:dyDescent="0.25">
      <c r="A34" s="316" t="s">
        <v>109</v>
      </c>
      <c r="B34" s="316"/>
      <c r="C34" s="316"/>
      <c r="D34" s="316"/>
      <c r="E34" s="316"/>
      <c r="F34" s="316"/>
      <c r="G34" s="316"/>
      <c r="H34" s="316"/>
      <c r="I34" s="316"/>
      <c r="J34" s="71"/>
      <c r="L34" s="329"/>
      <c r="M34" s="329"/>
      <c r="N34" s="82"/>
      <c r="O34" s="83"/>
      <c r="P34" s="81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pans="1:41" ht="0.75" customHeight="1" x14ac:dyDescent="0.3">
      <c r="A35" s="46"/>
      <c r="B35" s="68" t="s">
        <v>110</v>
      </c>
      <c r="C35" s="58"/>
      <c r="D35" s="336"/>
      <c r="E35" s="336"/>
      <c r="F35" s="336"/>
      <c r="G35" s="336"/>
      <c r="H35" s="70"/>
      <c r="I35" s="14"/>
      <c r="J35" s="14"/>
      <c r="K35" s="21"/>
      <c r="L35" s="330"/>
      <c r="M35" s="330"/>
      <c r="N35" s="82"/>
      <c r="O35" s="83"/>
      <c r="P35" s="81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ht="15.75" hidden="1" x14ac:dyDescent="0.25">
      <c r="A36" s="46"/>
      <c r="B36" s="46" t="s">
        <v>111</v>
      </c>
      <c r="C36" s="138"/>
      <c r="D36" s="149">
        <v>100000</v>
      </c>
      <c r="E36" s="141"/>
      <c r="F36" s="141"/>
      <c r="G36" s="142"/>
      <c r="H36" s="71"/>
      <c r="I36" s="14"/>
      <c r="J36" s="14"/>
      <c r="K36" s="21"/>
      <c r="L36" s="140"/>
      <c r="M36" s="140"/>
      <c r="N36" s="82"/>
      <c r="O36" s="83"/>
      <c r="P36" s="81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41" ht="15.75" hidden="1" x14ac:dyDescent="0.25">
      <c r="A37" s="46"/>
      <c r="B37" s="46" t="s">
        <v>69</v>
      </c>
      <c r="C37" s="46"/>
      <c r="D37" s="150">
        <v>24</v>
      </c>
      <c r="E37" s="70">
        <v>36</v>
      </c>
      <c r="F37" s="70">
        <v>48</v>
      </c>
      <c r="G37" s="70">
        <v>60</v>
      </c>
      <c r="H37" s="71"/>
      <c r="I37" s="14"/>
      <c r="J37" s="14"/>
      <c r="K37" s="21"/>
      <c r="L37" s="140"/>
      <c r="M37" s="140"/>
      <c r="N37" s="82"/>
      <c r="O37" s="83"/>
      <c r="P37" s="81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hidden="1" x14ac:dyDescent="0.25">
      <c r="A38" s="46"/>
      <c r="B38" s="46" t="s">
        <v>16</v>
      </c>
      <c r="C38" s="137"/>
      <c r="E38" s="143"/>
      <c r="F38" s="71"/>
      <c r="G38" s="71"/>
      <c r="H38" s="14"/>
      <c r="I38" s="14"/>
      <c r="J38" s="14"/>
      <c r="K38" s="21"/>
      <c r="L38" s="171"/>
      <c r="M38" s="171"/>
      <c r="N38" s="82"/>
      <c r="O38" s="83"/>
      <c r="P38" s="81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ht="15.75" hidden="1" x14ac:dyDescent="0.25">
      <c r="A39" s="46"/>
      <c r="B39" s="46" t="s">
        <v>112</v>
      </c>
      <c r="C39" s="137"/>
      <c r="D39" s="173">
        <f>L44+D9</f>
        <v>111000</v>
      </c>
      <c r="E39" s="143"/>
      <c r="F39" s="71"/>
      <c r="G39" s="71"/>
      <c r="H39" s="14"/>
      <c r="I39" s="21"/>
      <c r="J39" s="21"/>
      <c r="K39" s="21"/>
      <c r="L39" s="167" cm="1">
        <f t="array" ref="L39">_xlfn.IFS(D37=24, L43,D37=36,M43, D37=48,N43, D37=60,O43)</f>
        <v>100000</v>
      </c>
      <c r="M39" s="168" t="str" cm="1">
        <f t="array" ref="M39">_xlfn.IFS(D37=24,L40,D37=36,M40,D37=48,N40,D37=60,O40)</f>
        <v>0</v>
      </c>
      <c r="N39" s="82"/>
      <c r="O39" s="83"/>
      <c r="P39" s="81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idden="1" x14ac:dyDescent="0.25">
      <c r="A40" s="46"/>
      <c r="B40" s="22" t="s">
        <v>113</v>
      </c>
      <c r="C40" s="58"/>
      <c r="E40" s="46"/>
      <c r="F40" s="46"/>
      <c r="G40" s="14"/>
      <c r="H40" s="14"/>
      <c r="I40" s="17"/>
      <c r="J40" s="17"/>
      <c r="K40" s="21"/>
      <c r="L40" s="161" t="str">
        <f>IF(L41=0, "0", L41)</f>
        <v>0</v>
      </c>
      <c r="M40" s="161" t="str">
        <f>IF(M41=0, "0", M41)</f>
        <v>0</v>
      </c>
      <c r="N40" s="161">
        <f>IF(N41=0, "0", N41)</f>
        <v>16.098817468680483</v>
      </c>
      <c r="O40" s="161">
        <f>IF(O41=0, "0", O41)</f>
        <v>566.07718962839056</v>
      </c>
      <c r="P40" s="85"/>
      <c r="Q40" s="81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:41" ht="15.75" hidden="1" x14ac:dyDescent="0.25">
      <c r="A41" s="46"/>
      <c r="B41" s="22" t="s">
        <v>114</v>
      </c>
      <c r="C41" s="58"/>
      <c r="D41" s="159"/>
      <c r="E41" s="46"/>
      <c r="F41" s="46"/>
      <c r="G41" s="14"/>
      <c r="H41" s="14"/>
      <c r="I41" s="18"/>
      <c r="J41" s="18"/>
      <c r="K41" s="21">
        <v>24</v>
      </c>
      <c r="L41" s="164">
        <f>IF(L16&gt;L14,0,(L23/D51))</f>
        <v>0</v>
      </c>
      <c r="M41" s="164">
        <f>IF(M16&gt;M14,0,(M23/E51))</f>
        <v>0</v>
      </c>
      <c r="N41" s="164">
        <f>IF(N16&gt;N14,0,(N23/F51))</f>
        <v>16.098817468680483</v>
      </c>
      <c r="O41" s="164">
        <f>IF(O16&gt;O14,0,(O23/G51))</f>
        <v>566.07718962839056</v>
      </c>
      <c r="P41" s="83"/>
      <c r="Q41" s="81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:41" ht="15.75" hidden="1" x14ac:dyDescent="0.25">
      <c r="A42" s="46"/>
      <c r="B42" s="22" t="s">
        <v>43</v>
      </c>
      <c r="C42" s="58"/>
      <c r="D42" s="159"/>
      <c r="E42" s="46"/>
      <c r="F42" s="46"/>
      <c r="G42" s="14"/>
      <c r="H42" s="21"/>
      <c r="I42" s="17"/>
      <c r="J42" s="17"/>
      <c r="K42" s="21"/>
      <c r="L42" s="164"/>
      <c r="M42" s="164"/>
      <c r="N42" s="165"/>
      <c r="O42" s="166"/>
      <c r="P42" s="83"/>
      <c r="Q42" s="81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1:41" ht="15.75" hidden="1" x14ac:dyDescent="0.25">
      <c r="A43" s="46"/>
      <c r="B43" s="22" t="s">
        <v>115</v>
      </c>
      <c r="C43" s="58"/>
      <c r="D43" s="172">
        <f>D9</f>
        <v>11000</v>
      </c>
      <c r="E43" s="46"/>
      <c r="F43" s="46"/>
      <c r="G43" s="14"/>
      <c r="H43" s="17"/>
      <c r="I43" s="17"/>
      <c r="J43" s="17"/>
      <c r="K43" s="21"/>
      <c r="L43" s="164">
        <f>L41+D36</f>
        <v>100000</v>
      </c>
      <c r="M43" s="164">
        <f>M41+D12</f>
        <v>46000</v>
      </c>
      <c r="N43" s="165">
        <f>N41+D12</f>
        <v>46016.098817468679</v>
      </c>
      <c r="O43" s="166">
        <f>O41+D12</f>
        <v>46566.077189628391</v>
      </c>
      <c r="P43" s="83"/>
      <c r="Q43" s="81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:41" ht="15.75" hidden="1" x14ac:dyDescent="0.25">
      <c r="A44" s="46"/>
      <c r="B44" s="22" t="s">
        <v>116</v>
      </c>
      <c r="C44" s="58"/>
      <c r="D44" s="151">
        <f>D36-D19</f>
        <v>100000</v>
      </c>
      <c r="E44" s="2"/>
      <c r="F44" s="12"/>
      <c r="G44" s="21"/>
      <c r="H44" s="18"/>
      <c r="I44" s="17"/>
      <c r="J44" s="17"/>
      <c r="K44" s="21"/>
      <c r="L44" s="160">
        <f>L39-L40</f>
        <v>100000</v>
      </c>
      <c r="M44" s="21"/>
      <c r="N44" s="25"/>
      <c r="O44" s="82"/>
      <c r="P44" s="83"/>
      <c r="Q44" s="81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pans="1:41" hidden="1" x14ac:dyDescent="0.25">
      <c r="A45" s="46"/>
      <c r="B45" s="57"/>
      <c r="C45" s="10"/>
      <c r="D45" s="2"/>
      <c r="E45" s="19"/>
      <c r="F45" s="90"/>
      <c r="G45" s="17"/>
      <c r="H45" s="17"/>
      <c r="I45" s="17"/>
      <c r="J45" s="17"/>
      <c r="K45" s="21"/>
      <c r="L45" s="21"/>
      <c r="M45" s="21"/>
      <c r="N45" s="25"/>
      <c r="O45" s="82"/>
      <c r="P45" s="83"/>
      <c r="Q45" s="81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pans="1:41" hidden="1" x14ac:dyDescent="0.25">
      <c r="B46" s="57"/>
      <c r="C46" s="10"/>
      <c r="D46" s="147">
        <v>24</v>
      </c>
      <c r="E46" s="147">
        <v>36</v>
      </c>
      <c r="F46" s="148">
        <v>48</v>
      </c>
      <c r="G46" s="148">
        <v>60</v>
      </c>
      <c r="H46" s="17"/>
      <c r="I46" s="17"/>
      <c r="J46" s="17"/>
      <c r="L46" s="21"/>
      <c r="M46" s="21"/>
      <c r="N46" s="25"/>
      <c r="O46" s="82"/>
      <c r="P46" s="83"/>
      <c r="Q46" s="81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pans="1:41" hidden="1" x14ac:dyDescent="0.25">
      <c r="B47" s="57"/>
      <c r="C47" s="10"/>
      <c r="D47" s="19"/>
      <c r="E47" s="19"/>
      <c r="F47" s="90"/>
      <c r="G47" s="17"/>
      <c r="H47" s="17"/>
      <c r="I47" s="17"/>
      <c r="J47" s="17"/>
      <c r="K47" s="21"/>
      <c r="L47" s="21"/>
      <c r="M47" s="21"/>
      <c r="N47" s="25"/>
      <c r="O47" s="82"/>
      <c r="P47" s="83"/>
      <c r="Q47" s="81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pans="1:41" hidden="1" x14ac:dyDescent="0.25">
      <c r="B48" s="57" t="s">
        <v>117</v>
      </c>
      <c r="C48" s="10"/>
      <c r="D48" s="19">
        <f>(D36/D51)</f>
        <v>113391.54099104207</v>
      </c>
      <c r="E48" s="19">
        <f>D36/E51</f>
        <v>117384.66956215518</v>
      </c>
      <c r="F48" s="19">
        <f>D36/F51</f>
        <v>117082.30886313079</v>
      </c>
      <c r="G48" s="19">
        <f>D36/G51</f>
        <v>119488.58883976581</v>
      </c>
      <c r="H48" s="17"/>
      <c r="I48" s="17"/>
      <c r="J48" s="17"/>
      <c r="K48" s="21"/>
      <c r="L48" s="21"/>
      <c r="M48" s="21"/>
      <c r="N48" s="25"/>
      <c r="O48" s="82"/>
      <c r="P48" s="83"/>
      <c r="Q48" s="81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:41" hidden="1" x14ac:dyDescent="0.25">
      <c r="B49" s="57"/>
      <c r="C49" s="10"/>
      <c r="D49" s="19" t="str">
        <f>IF(D40-L16&lt;0,"0",D40-L16)</f>
        <v>0</v>
      </c>
      <c r="E49" s="19" t="str">
        <f>IF(E40-M16&lt;0,"0",E40-M16)</f>
        <v>0</v>
      </c>
      <c r="F49" s="19" t="str">
        <f>IF(F40-N16&lt;0,"0",F40-N16)</f>
        <v>0</v>
      </c>
      <c r="G49" s="19" t="str">
        <f>IF(G40-O16&lt;0,"0",G40-O16)</f>
        <v>0</v>
      </c>
      <c r="H49" s="17"/>
      <c r="I49" s="17"/>
      <c r="J49" s="17"/>
      <c r="K49" s="21"/>
      <c r="L49" s="21"/>
      <c r="M49" s="21"/>
      <c r="N49" s="25"/>
      <c r="O49" s="82"/>
      <c r="P49" s="83"/>
      <c r="Q49" s="81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41" hidden="1" x14ac:dyDescent="0.25">
      <c r="B50" s="57" t="s">
        <v>118</v>
      </c>
      <c r="C50" s="10"/>
      <c r="D50" s="19">
        <f>D48-D49-D60</f>
        <v>113391.54099104207</v>
      </c>
      <c r="E50" s="19">
        <f>E48-E49</f>
        <v>117384.66956215518</v>
      </c>
      <c r="F50" s="90">
        <f>F48-F49</f>
        <v>117082.30886313079</v>
      </c>
      <c r="G50" s="90">
        <f>G48-G49</f>
        <v>119488.58883976581</v>
      </c>
      <c r="H50" s="17"/>
      <c r="I50" s="17"/>
      <c r="J50" s="17"/>
      <c r="K50" s="21"/>
      <c r="L50" s="21"/>
      <c r="M50" s="21"/>
      <c r="N50" s="25"/>
      <c r="O50" s="84"/>
      <c r="P50" s="85"/>
      <c r="Q50" s="81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pans="1:41" hidden="1" x14ac:dyDescent="0.25">
      <c r="B51" s="57" t="s">
        <v>119</v>
      </c>
      <c r="C51" s="10"/>
      <c r="D51" s="10">
        <v>0.88190000000000002</v>
      </c>
      <c r="E51" s="10">
        <v>0.85189999999999999</v>
      </c>
      <c r="F51" s="222">
        <v>0.85409999999999997</v>
      </c>
      <c r="G51" s="221">
        <v>0.83689999999999998</v>
      </c>
      <c r="H51" s="17"/>
      <c r="I51" s="17"/>
      <c r="J51" s="17"/>
      <c r="K51" s="21"/>
      <c r="L51" s="21"/>
      <c r="M51" s="21"/>
      <c r="N51" s="21"/>
      <c r="O51" s="86"/>
      <c r="P51" s="87"/>
      <c r="Q51" s="81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pans="1:41" hidden="1" x14ac:dyDescent="0.25">
      <c r="B52" s="57"/>
      <c r="C52" s="10"/>
      <c r="D52" s="157">
        <f>L14-D9</f>
        <v>-5480</v>
      </c>
      <c r="E52" s="33">
        <f>M14-D9</f>
        <v>-4100</v>
      </c>
      <c r="F52" s="93"/>
      <c r="G52" s="17"/>
      <c r="H52" s="17"/>
      <c r="I52" s="17"/>
      <c r="J52" s="17"/>
      <c r="K52" s="21"/>
      <c r="L52" s="21"/>
      <c r="M52" s="21"/>
      <c r="N52" s="21"/>
      <c r="O52" s="86"/>
      <c r="P52" s="87"/>
      <c r="Q52" s="81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hidden="1" x14ac:dyDescent="0.25">
      <c r="B53" s="57"/>
      <c r="C53" s="10"/>
      <c r="D53" s="33">
        <f>L14-K24</f>
        <v>-2746.25</v>
      </c>
      <c r="E53" s="33">
        <f>M14-K24</f>
        <v>-1366.25</v>
      </c>
      <c r="F53" s="133">
        <f>N14-K24</f>
        <v>13.75</v>
      </c>
      <c r="G53" s="134">
        <f>O14-K24</f>
        <v>473.75</v>
      </c>
      <c r="H53" s="301">
        <f>P14-K24</f>
        <v>1393.75</v>
      </c>
      <c r="I53" s="17"/>
      <c r="J53" s="17"/>
      <c r="K53" s="21"/>
      <c r="L53" s="21"/>
      <c r="M53" s="21"/>
      <c r="N53" s="21"/>
      <c r="O53" s="86"/>
      <c r="P53" s="87"/>
      <c r="Q53" s="81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pans="1:41" hidden="1" x14ac:dyDescent="0.25">
      <c r="B54" s="57"/>
      <c r="C54" s="10"/>
      <c r="D54" s="33"/>
      <c r="E54" s="33"/>
      <c r="F54" s="93"/>
      <c r="G54" s="17"/>
      <c r="H54" s="17"/>
      <c r="I54" s="17"/>
      <c r="J54" s="17"/>
      <c r="K54" s="21"/>
      <c r="L54" s="21"/>
      <c r="M54" s="21"/>
      <c r="N54" s="21"/>
      <c r="O54" s="86"/>
      <c r="P54" s="87"/>
      <c r="Q54" s="81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hidden="1" x14ac:dyDescent="0.25">
      <c r="B55" s="57"/>
      <c r="C55" s="10"/>
      <c r="D55" s="33">
        <f>D54*0.1</f>
        <v>0</v>
      </c>
      <c r="E55" s="33">
        <f>D54*0.1325</f>
        <v>0</v>
      </c>
      <c r="F55" s="93">
        <f>D54*0.13</f>
        <v>0</v>
      </c>
      <c r="G55" s="135">
        <f>D54*0.15</f>
        <v>0</v>
      </c>
      <c r="H55" s="17"/>
      <c r="I55" s="3"/>
      <c r="J55" s="3"/>
      <c r="K55" s="3"/>
      <c r="L55" s="3"/>
      <c r="M55" s="3"/>
      <c r="N55" s="3"/>
      <c r="O55" s="86"/>
      <c r="P55" s="87"/>
      <c r="Q55" s="81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hidden="1" x14ac:dyDescent="0.25">
      <c r="B56" s="57"/>
      <c r="C56" s="10"/>
      <c r="D56" s="10"/>
      <c r="E56" s="10"/>
      <c r="F56" s="6"/>
      <c r="G56" s="17"/>
      <c r="H56" s="17"/>
      <c r="I56" s="3"/>
      <c r="J56" s="3"/>
      <c r="K56" s="3"/>
      <c r="L56" s="3"/>
      <c r="M56" s="3"/>
      <c r="N56" s="3"/>
      <c r="O56" s="86"/>
      <c r="P56" s="87"/>
      <c r="Q56" s="81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pans="1:41" hidden="1" x14ac:dyDescent="0.25">
      <c r="B57" s="57"/>
      <c r="C57" s="10"/>
      <c r="D57" s="10"/>
      <c r="E57" s="127"/>
      <c r="F57" s="128">
        <v>1.9900000000000001E-2</v>
      </c>
      <c r="G57" s="131">
        <v>1.9900000000000001E-2</v>
      </c>
      <c r="H57" s="300">
        <v>1.9900000000000001E-2</v>
      </c>
      <c r="I57" s="3"/>
      <c r="J57" s="3"/>
      <c r="K57" s="3"/>
      <c r="L57" s="3"/>
      <c r="M57" s="3"/>
      <c r="N57" s="3"/>
      <c r="O57" s="86"/>
      <c r="P57" s="87"/>
      <c r="Q57" s="81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pans="1:41" hidden="1" x14ac:dyDescent="0.25">
      <c r="B58" s="57"/>
      <c r="C58" s="10"/>
      <c r="D58" s="10"/>
      <c r="E58" s="10"/>
      <c r="F58" s="6">
        <v>48</v>
      </c>
      <c r="G58" s="17">
        <v>48</v>
      </c>
      <c r="H58" s="3">
        <v>60</v>
      </c>
      <c r="I58" s="3"/>
      <c r="J58" s="3"/>
      <c r="K58" s="3"/>
      <c r="L58" s="3"/>
      <c r="M58" s="3"/>
      <c r="N58" s="3"/>
      <c r="O58" s="86"/>
      <c r="P58" s="87"/>
      <c r="Q58" s="81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pans="1:41" hidden="1" x14ac:dyDescent="0.25">
      <c r="B59" s="57"/>
      <c r="C59" s="10"/>
      <c r="D59" s="10"/>
      <c r="E59" s="10"/>
      <c r="F59" s="6"/>
      <c r="G59" s="17"/>
      <c r="H59" s="3"/>
      <c r="I59" s="3"/>
      <c r="J59" s="3"/>
      <c r="K59" s="3"/>
      <c r="L59" s="3"/>
      <c r="M59" s="3"/>
      <c r="N59" s="3"/>
      <c r="O59" s="86"/>
      <c r="P59" s="87"/>
      <c r="Q59" s="81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pans="1:41" hidden="1" x14ac:dyDescent="0.25">
      <c r="B60" s="57" t="s">
        <v>120</v>
      </c>
      <c r="C60" s="19"/>
      <c r="D60" s="161" t="str">
        <f>IF(L16-L14&gt;0,"0",((L16-L14)/-D51))</f>
        <v>0</v>
      </c>
      <c r="E60" s="10"/>
      <c r="F60" s="136"/>
      <c r="G60" s="17"/>
      <c r="H60" s="3"/>
      <c r="I60" s="3"/>
      <c r="J60" s="3"/>
      <c r="K60" s="3"/>
      <c r="L60" s="3"/>
      <c r="M60" s="3"/>
      <c r="N60" s="3"/>
      <c r="O60" s="86"/>
      <c r="P60" s="87"/>
      <c r="Q60" s="81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pans="1:41" hidden="1" x14ac:dyDescent="0.25">
      <c r="B61" s="57"/>
      <c r="C61" s="19"/>
      <c r="D61" s="10"/>
      <c r="E61" s="10"/>
      <c r="F61" s="136"/>
      <c r="G61" s="17"/>
      <c r="H61" s="3"/>
      <c r="I61" s="3"/>
      <c r="J61" s="3"/>
      <c r="K61" s="3"/>
      <c r="L61" s="3"/>
      <c r="M61" s="3"/>
      <c r="N61" s="3"/>
      <c r="O61" s="86"/>
      <c r="P61" s="87"/>
      <c r="Q61" s="81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pans="1:41" hidden="1" x14ac:dyDescent="0.25">
      <c r="A62" s="46"/>
      <c r="B62" s="57"/>
      <c r="C62" s="19"/>
      <c r="D62" s="10"/>
      <c r="E62" s="10"/>
      <c r="F62" s="136"/>
      <c r="G62" s="17"/>
      <c r="H62" s="3"/>
      <c r="I62" s="3"/>
      <c r="J62" s="3"/>
      <c r="K62" s="3"/>
      <c r="L62" s="3"/>
      <c r="M62" s="3"/>
      <c r="N62" s="3"/>
      <c r="O62" s="86"/>
      <c r="P62" s="87"/>
      <c r="Q62" s="81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pans="1:41" x14ac:dyDescent="0.25">
      <c r="A63" s="46"/>
      <c r="B63" s="57"/>
      <c r="C63" s="19"/>
      <c r="D63" s="10"/>
      <c r="E63" s="10"/>
      <c r="F63" s="136"/>
      <c r="G63" s="17"/>
      <c r="H63" s="3"/>
      <c r="I63" s="3"/>
      <c r="J63" s="3"/>
      <c r="K63" s="3"/>
      <c r="L63" s="3"/>
      <c r="M63" s="3"/>
      <c r="N63" s="3"/>
      <c r="O63" s="86"/>
      <c r="P63" s="87"/>
      <c r="Q63" s="81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</row>
    <row r="64" spans="1:41" x14ac:dyDescent="0.25">
      <c r="A64" s="46"/>
      <c r="B64" s="10"/>
      <c r="C64" s="19"/>
      <c r="D64" s="10"/>
      <c r="E64" s="10"/>
      <c r="F64" s="136"/>
      <c r="G64" s="17"/>
      <c r="H64" s="3"/>
      <c r="I64" s="3"/>
      <c r="J64" s="3"/>
      <c r="K64" s="3"/>
      <c r="L64" s="3"/>
      <c r="M64" s="3"/>
      <c r="N64" s="3"/>
      <c r="O64" s="86"/>
      <c r="P64" s="87"/>
      <c r="Q64" s="81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</row>
    <row r="65" spans="1:41" x14ac:dyDescent="0.25">
      <c r="A65" s="46"/>
      <c r="B65" s="10"/>
      <c r="C65" s="19"/>
      <c r="D65" s="10"/>
      <c r="E65" s="10"/>
      <c r="F65" s="136"/>
      <c r="G65" s="17"/>
      <c r="H65" s="3"/>
      <c r="I65" s="3"/>
      <c r="J65" s="3"/>
      <c r="K65" s="3"/>
      <c r="L65" s="3"/>
      <c r="M65" s="3"/>
      <c r="N65" s="3"/>
      <c r="O65" s="86"/>
      <c r="P65" s="87"/>
      <c r="Q65" s="81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</row>
    <row r="66" spans="1:41" x14ac:dyDescent="0.25">
      <c r="A66" s="46"/>
      <c r="B66" s="22"/>
      <c r="C66" s="19"/>
      <c r="D66" s="10"/>
      <c r="E66" s="10"/>
      <c r="F66" s="136"/>
      <c r="G66" s="17"/>
      <c r="H66" s="3"/>
      <c r="I66" s="3"/>
      <c r="J66" s="3"/>
      <c r="K66" s="3"/>
      <c r="L66" s="3"/>
      <c r="M66" s="3"/>
      <c r="N66" s="3"/>
      <c r="O66" s="86"/>
      <c r="P66" s="87"/>
      <c r="Q66" s="81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</row>
    <row r="67" spans="1:41" x14ac:dyDescent="0.25">
      <c r="A67" s="46"/>
      <c r="B67" s="22"/>
      <c r="C67" s="19"/>
      <c r="D67" s="10"/>
      <c r="E67" s="10"/>
      <c r="F67" s="136"/>
      <c r="G67" s="17"/>
      <c r="H67" s="3"/>
      <c r="I67" s="3"/>
      <c r="J67" s="3"/>
      <c r="K67" s="3"/>
      <c r="L67" s="3"/>
      <c r="M67" s="3"/>
      <c r="N67" s="3"/>
      <c r="O67" s="86"/>
      <c r="P67" s="87"/>
      <c r="Q67" s="81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</row>
    <row r="68" spans="1:41" x14ac:dyDescent="0.25">
      <c r="A68" s="46"/>
      <c r="B68" s="22"/>
      <c r="C68" s="19"/>
      <c r="D68" s="10"/>
      <c r="E68" s="10"/>
      <c r="F68" s="6"/>
      <c r="G68" s="17"/>
      <c r="H68" s="3"/>
      <c r="I68" s="3"/>
      <c r="J68" s="3"/>
      <c r="K68" s="3"/>
      <c r="L68" s="3"/>
      <c r="M68" s="3"/>
      <c r="N68" s="3"/>
      <c r="O68" s="86"/>
      <c r="P68" s="87"/>
      <c r="Q68" s="81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</row>
    <row r="69" spans="1:41" x14ac:dyDescent="0.25">
      <c r="A69" s="46"/>
      <c r="B69" s="22"/>
      <c r="C69" s="19"/>
      <c r="D69" s="10"/>
      <c r="E69" s="19"/>
      <c r="F69" s="90"/>
      <c r="G69" s="17"/>
      <c r="H69" s="3"/>
      <c r="K69" s="3"/>
      <c r="L69" s="3"/>
      <c r="M69" s="3"/>
      <c r="N69" s="3"/>
      <c r="O69" s="86"/>
      <c r="P69" s="87"/>
      <c r="Q69" s="81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</row>
    <row r="70" spans="1:41" x14ac:dyDescent="0.25">
      <c r="A70" s="46"/>
      <c r="B70" s="22"/>
      <c r="C70" s="19"/>
      <c r="D70" s="19"/>
      <c r="E70" s="19"/>
      <c r="F70" s="90"/>
      <c r="G70" s="17"/>
      <c r="H70" s="3"/>
      <c r="I70" s="3"/>
      <c r="J70" s="3"/>
      <c r="K70" s="3"/>
      <c r="L70" s="3"/>
      <c r="M70" s="3"/>
      <c r="N70" s="3"/>
      <c r="O70" s="86"/>
      <c r="P70" s="87"/>
      <c r="Q70" s="81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</row>
    <row r="71" spans="1:41" x14ac:dyDescent="0.25">
      <c r="A71" s="46"/>
      <c r="B71" s="22"/>
      <c r="C71" s="19"/>
      <c r="D71" s="19"/>
      <c r="E71" s="19"/>
      <c r="F71" s="90"/>
      <c r="G71" s="17"/>
      <c r="H71" s="3"/>
      <c r="I71" s="21"/>
      <c r="J71" s="21"/>
      <c r="K71" s="10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pans="1:41" ht="18.75" x14ac:dyDescent="0.25">
      <c r="A72" s="46"/>
      <c r="B72" s="22"/>
      <c r="C72" s="19"/>
      <c r="D72" s="19"/>
      <c r="E72" s="19"/>
      <c r="F72" s="90"/>
      <c r="G72" s="17"/>
      <c r="I72" s="23"/>
      <c r="J72" s="23"/>
      <c r="K72" s="10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</row>
    <row r="73" spans="1:41" x14ac:dyDescent="0.25">
      <c r="A73" s="46"/>
      <c r="B73" s="22"/>
      <c r="C73" s="10"/>
      <c r="D73" s="19"/>
      <c r="E73" s="19"/>
      <c r="F73" s="90"/>
      <c r="G73" s="17"/>
      <c r="H73" s="3"/>
      <c r="I73" s="10"/>
      <c r="J73" s="10"/>
      <c r="K73" s="10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</row>
    <row r="74" spans="1:41" ht="18.75" x14ac:dyDescent="0.3">
      <c r="A74" s="46"/>
      <c r="B74" s="22"/>
      <c r="C74" s="10"/>
      <c r="D74" s="19"/>
      <c r="E74" s="19"/>
      <c r="F74" s="90"/>
      <c r="G74" s="6"/>
      <c r="H74" s="21"/>
      <c r="I74" s="20"/>
      <c r="J74" s="20"/>
      <c r="K74" s="10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</row>
    <row r="75" spans="1:41" ht="18.75" x14ac:dyDescent="0.25">
      <c r="A75" s="46"/>
      <c r="B75" s="22"/>
      <c r="C75" s="10"/>
      <c r="D75" s="19"/>
      <c r="E75" s="19"/>
      <c r="F75" s="90"/>
      <c r="G75" s="17"/>
      <c r="H75" s="23"/>
      <c r="I75" s="10"/>
      <c r="J75" s="10"/>
      <c r="K75" s="24"/>
      <c r="L75" s="4"/>
      <c r="M75" s="5"/>
      <c r="N75" s="86"/>
      <c r="O75" s="87"/>
      <c r="P75" s="88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</row>
    <row r="76" spans="1:41" x14ac:dyDescent="0.25">
      <c r="A76" s="46"/>
      <c r="B76" s="22"/>
      <c r="C76" s="10"/>
      <c r="D76" s="19"/>
      <c r="E76" s="19"/>
      <c r="F76" s="19"/>
      <c r="G76" s="21"/>
      <c r="H76" s="10"/>
      <c r="I76" s="10"/>
      <c r="J76" s="10"/>
      <c r="K76" s="10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</row>
    <row r="77" spans="1:41" ht="18.75" x14ac:dyDescent="0.3">
      <c r="A77" s="46"/>
      <c r="B77" s="22"/>
      <c r="C77" s="10"/>
      <c r="D77" s="19"/>
      <c r="E77" s="19"/>
      <c r="F77" s="19"/>
      <c r="G77" s="23"/>
      <c r="H77" s="20"/>
      <c r="I77" s="10"/>
      <c r="J77" s="10"/>
      <c r="K77" s="10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pans="1:41" x14ac:dyDescent="0.25">
      <c r="A78" s="46"/>
      <c r="B78" s="22"/>
      <c r="C78" s="10"/>
      <c r="D78" s="19"/>
      <c r="E78" s="19"/>
      <c r="F78" s="19"/>
      <c r="G78" s="10"/>
      <c r="H78" s="10"/>
      <c r="I78" s="10"/>
      <c r="J78" s="10"/>
      <c r="K78" s="10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41" ht="18.75" x14ac:dyDescent="0.3">
      <c r="A79" s="46"/>
      <c r="B79" s="10"/>
      <c r="C79" s="10"/>
      <c r="D79" s="19"/>
      <c r="E79" s="19"/>
      <c r="F79" s="19"/>
      <c r="G79" s="20"/>
      <c r="H79" s="10"/>
      <c r="I79" s="10"/>
      <c r="J79" s="10"/>
      <c r="K79" s="10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</row>
    <row r="80" spans="1:41" x14ac:dyDescent="0.25">
      <c r="A80" s="46"/>
      <c r="B80" s="10"/>
      <c r="C80" s="10"/>
      <c r="D80" s="19"/>
      <c r="E80" s="19"/>
      <c r="F80" s="19"/>
      <c r="G80" s="10"/>
      <c r="H80" s="10"/>
      <c r="I80" s="10"/>
      <c r="J80" s="10"/>
      <c r="K80" s="10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</row>
    <row r="81" spans="1:41" x14ac:dyDescent="0.25">
      <c r="A81" s="46"/>
      <c r="B81" s="10"/>
      <c r="C81" s="10"/>
      <c r="D81" s="19"/>
      <c r="E81" s="19"/>
      <c r="F81" s="19"/>
      <c r="G81" s="10"/>
      <c r="H81" s="10"/>
      <c r="I81" s="10"/>
      <c r="J81" s="10"/>
      <c r="K81" s="10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</row>
    <row r="82" spans="1:41" x14ac:dyDescent="0.25">
      <c r="A82" s="46"/>
      <c r="B82" s="10"/>
      <c r="C82" s="10"/>
      <c r="D82" s="19"/>
      <c r="E82" s="10"/>
      <c r="F82" s="10"/>
      <c r="G82" s="10"/>
      <c r="H82" s="10"/>
      <c r="I82" s="10"/>
      <c r="J82" s="10"/>
      <c r="K82" s="10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</row>
    <row r="83" spans="1:41" x14ac:dyDescent="0.25">
      <c r="A83" s="46"/>
      <c r="B83" s="10"/>
      <c r="C83" s="10"/>
      <c r="D83" s="10"/>
      <c r="E83" s="10"/>
      <c r="F83" s="10"/>
      <c r="G83" s="10"/>
      <c r="H83" s="10"/>
      <c r="I83" s="10"/>
      <c r="J83" s="10"/>
      <c r="K83" s="10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</row>
    <row r="84" spans="1:41" x14ac:dyDescent="0.25">
      <c r="A84" s="46"/>
      <c r="B84" s="10"/>
      <c r="C84" s="10"/>
      <c r="D84" s="10"/>
      <c r="E84" s="10"/>
      <c r="F84" s="10"/>
      <c r="G84" s="10"/>
      <c r="H84" s="10"/>
      <c r="I84" s="10"/>
      <c r="J84" s="10"/>
      <c r="K84" s="10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</row>
    <row r="85" spans="1:41" x14ac:dyDescent="0.25">
      <c r="A85" s="46"/>
      <c r="B85" s="10"/>
      <c r="C85" s="10"/>
      <c r="D85" s="10"/>
      <c r="E85" s="10"/>
      <c r="F85" s="10"/>
      <c r="G85" s="10"/>
      <c r="H85" s="10"/>
      <c r="I85" s="10"/>
      <c r="J85" s="10"/>
      <c r="K85" s="10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</row>
    <row r="86" spans="1:41" x14ac:dyDescent="0.25">
      <c r="A86" s="46"/>
      <c r="B86" s="10"/>
      <c r="C86" s="10"/>
      <c r="D86" s="10"/>
      <c r="E86" s="10"/>
      <c r="F86" s="10"/>
      <c r="G86" s="10"/>
      <c r="H86" s="10"/>
      <c r="I86" s="10"/>
      <c r="J86" s="10"/>
      <c r="K86" s="10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</row>
    <row r="87" spans="1:41" x14ac:dyDescent="0.25">
      <c r="A87" s="46"/>
      <c r="B87" s="10"/>
      <c r="C87" s="10"/>
      <c r="D87" s="10"/>
      <c r="E87" s="10"/>
      <c r="F87" s="10"/>
      <c r="G87" s="10"/>
      <c r="H87" s="10"/>
      <c r="I87" s="10"/>
      <c r="J87" s="10"/>
      <c r="K87" s="10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</row>
    <row r="88" spans="1:41" x14ac:dyDescent="0.25">
      <c r="A88" s="46"/>
      <c r="B88" s="10"/>
      <c r="C88" s="10"/>
      <c r="D88" s="10"/>
      <c r="E88" s="10"/>
      <c r="F88" s="10"/>
      <c r="G88" s="10"/>
      <c r="H88" s="10"/>
      <c r="I88" s="10"/>
      <c r="J88" s="10"/>
      <c r="K88" s="10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</row>
    <row r="89" spans="1:41" x14ac:dyDescent="0.25">
      <c r="A89" s="46"/>
      <c r="B89" s="10"/>
      <c r="C89" s="10"/>
      <c r="D89" s="10"/>
      <c r="E89" s="10"/>
      <c r="F89" s="10"/>
      <c r="G89" s="10"/>
      <c r="H89" s="10"/>
      <c r="I89" s="10"/>
      <c r="J89" s="10"/>
      <c r="K89" s="10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</row>
    <row r="90" spans="1:41" x14ac:dyDescent="0.25">
      <c r="A90" s="46"/>
      <c r="B90" s="10"/>
      <c r="C90" s="10"/>
      <c r="D90" s="10"/>
      <c r="E90" s="10"/>
      <c r="F90" s="10"/>
      <c r="G90" s="10"/>
      <c r="H90" s="10"/>
      <c r="I90" s="10"/>
      <c r="J90" s="10"/>
      <c r="K90" s="10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</row>
    <row r="91" spans="1:41" x14ac:dyDescent="0.25">
      <c r="A91" s="46"/>
      <c r="B91" s="10"/>
      <c r="C91" s="10"/>
      <c r="D91" s="10"/>
      <c r="E91" s="10"/>
      <c r="F91" s="10"/>
      <c r="G91" s="10"/>
      <c r="H91" s="10"/>
      <c r="I91" s="10"/>
      <c r="J91" s="10"/>
      <c r="K91" s="10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</row>
    <row r="92" spans="1:41" x14ac:dyDescent="0.25">
      <c r="A92" s="46"/>
      <c r="B92" s="10"/>
      <c r="C92" s="10"/>
      <c r="D92" s="10"/>
      <c r="E92" s="10"/>
      <c r="F92" s="10"/>
      <c r="G92" s="10"/>
      <c r="H92" s="10"/>
      <c r="I92" s="10"/>
      <c r="J92" s="10"/>
      <c r="K92" s="10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</row>
    <row r="93" spans="1:41" x14ac:dyDescent="0.25">
      <c r="A93" s="46"/>
      <c r="B93" s="10"/>
      <c r="C93" s="10"/>
      <c r="D93" s="10"/>
      <c r="E93" s="10"/>
      <c r="F93" s="10"/>
      <c r="G93" s="10"/>
      <c r="H93" s="10"/>
      <c r="I93" s="10"/>
      <c r="J93" s="10"/>
      <c r="K93" s="10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</row>
    <row r="94" spans="1:41" x14ac:dyDescent="0.25">
      <c r="A94" s="46"/>
      <c r="B94" s="10"/>
      <c r="C94" s="10"/>
      <c r="D94" s="10"/>
      <c r="E94" s="10"/>
      <c r="F94" s="10"/>
      <c r="G94" s="10"/>
      <c r="H94" s="10"/>
      <c r="I94" s="10"/>
      <c r="J94" s="10"/>
      <c r="K94" s="10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</row>
    <row r="95" spans="1:41" x14ac:dyDescent="0.25">
      <c r="A95" s="46"/>
      <c r="B95" s="10"/>
      <c r="C95" s="10"/>
      <c r="D95" s="10"/>
      <c r="E95" s="10"/>
      <c r="F95" s="10"/>
      <c r="G95" s="10"/>
      <c r="H95" s="10"/>
      <c r="I95" s="10"/>
      <c r="J95" s="10"/>
      <c r="K95" s="10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</row>
    <row r="96" spans="1:41" x14ac:dyDescent="0.25">
      <c r="A96" s="46"/>
      <c r="B96" s="10"/>
      <c r="C96" s="10"/>
      <c r="D96" s="10"/>
      <c r="E96" s="10"/>
      <c r="F96" s="10"/>
      <c r="G96" s="10"/>
      <c r="H96" s="10"/>
      <c r="I96" s="10"/>
      <c r="J96" s="10"/>
      <c r="K96" s="10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</row>
    <row r="97" spans="1:36" x14ac:dyDescent="0.25">
      <c r="A97" s="46"/>
      <c r="B97" s="10"/>
      <c r="C97" s="10"/>
      <c r="D97" s="10"/>
      <c r="E97" s="10"/>
      <c r="F97" s="10"/>
      <c r="G97" s="10"/>
      <c r="H97" s="10"/>
      <c r="I97" s="10"/>
      <c r="J97" s="10"/>
      <c r="K97" s="10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</row>
    <row r="98" spans="1:36" x14ac:dyDescent="0.25">
      <c r="A98" s="46"/>
      <c r="B98" s="10"/>
      <c r="C98" s="10"/>
      <c r="D98" s="10"/>
      <c r="E98" s="10"/>
      <c r="F98" s="10"/>
      <c r="G98" s="10"/>
      <c r="H98" s="10"/>
      <c r="I98" s="10"/>
      <c r="J98" s="10"/>
      <c r="K98" s="10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</row>
    <row r="99" spans="1:36" x14ac:dyDescent="0.25">
      <c r="A99" s="46"/>
      <c r="B99" s="10"/>
      <c r="C99" s="10"/>
      <c r="D99" s="10"/>
      <c r="E99" s="10"/>
      <c r="F99" s="10"/>
      <c r="G99" s="10"/>
      <c r="H99" s="10"/>
      <c r="I99" s="10"/>
      <c r="J99" s="10"/>
      <c r="K99" s="10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</row>
    <row r="100" spans="1:36" x14ac:dyDescent="0.25">
      <c r="A100" s="46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</row>
    <row r="101" spans="1:36" x14ac:dyDescent="0.25">
      <c r="A101" s="46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</row>
    <row r="102" spans="1:36" x14ac:dyDescent="0.25">
      <c r="A102" s="46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</row>
    <row r="103" spans="1:36" x14ac:dyDescent="0.25">
      <c r="A103" s="46"/>
      <c r="B103" s="10"/>
      <c r="C103" s="10"/>
      <c r="D103" s="10"/>
      <c r="E103" s="10"/>
      <c r="F103" s="10"/>
      <c r="G103" s="10"/>
      <c r="H103" s="10"/>
      <c r="I103" s="15"/>
      <c r="J103" s="15"/>
      <c r="K103" s="10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</row>
    <row r="104" spans="1:36" x14ac:dyDescent="0.25">
      <c r="A104" s="46"/>
      <c r="B104" s="10"/>
      <c r="D104" s="10"/>
      <c r="E104" s="10"/>
      <c r="F104" s="10"/>
      <c r="G104" s="10"/>
      <c r="H104" s="10"/>
      <c r="I104" s="15"/>
      <c r="J104" s="15"/>
      <c r="K104" s="10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</row>
    <row r="105" spans="1:36" x14ac:dyDescent="0.25">
      <c r="A105" s="46"/>
      <c r="B105" s="10"/>
      <c r="D105" s="10"/>
      <c r="E105" s="10"/>
      <c r="F105" s="10"/>
      <c r="G105" s="10"/>
      <c r="H105" s="10"/>
      <c r="I105" s="15"/>
      <c r="J105" s="15"/>
      <c r="K105" s="10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</row>
    <row r="106" spans="1:36" x14ac:dyDescent="0.25">
      <c r="A106" s="46"/>
      <c r="B106" s="10"/>
      <c r="D106" s="10"/>
      <c r="E106" s="10"/>
      <c r="F106" s="10"/>
      <c r="G106" s="10"/>
      <c r="H106" s="15"/>
      <c r="I106" s="15"/>
      <c r="J106" s="15"/>
      <c r="K106" s="10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</row>
    <row r="107" spans="1:36" x14ac:dyDescent="0.25">
      <c r="A107" s="46"/>
      <c r="B107" s="57"/>
      <c r="C107" s="46"/>
      <c r="D107" s="57"/>
      <c r="E107" s="57"/>
      <c r="F107" s="57"/>
      <c r="G107" s="57"/>
      <c r="H107" s="15"/>
      <c r="I107" s="15"/>
      <c r="J107" s="15"/>
      <c r="K107" s="10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</row>
    <row r="108" spans="1:36" x14ac:dyDescent="0.25">
      <c r="A108" s="46"/>
      <c r="B108" s="57"/>
      <c r="C108" s="46"/>
      <c r="D108" s="57"/>
      <c r="E108" s="57"/>
      <c r="F108" s="243"/>
      <c r="G108" s="243"/>
      <c r="H108" s="15"/>
      <c r="I108" s="15"/>
      <c r="J108" s="15"/>
      <c r="K108" s="10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</row>
    <row r="109" spans="1:36" x14ac:dyDescent="0.25">
      <c r="A109" s="46"/>
      <c r="B109" s="57"/>
      <c r="C109" s="46"/>
      <c r="D109" s="57"/>
      <c r="E109" s="57"/>
      <c r="F109" s="243"/>
      <c r="G109" s="243"/>
      <c r="H109" s="15"/>
      <c r="I109" s="15"/>
      <c r="J109" s="15"/>
      <c r="K109" s="10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</row>
    <row r="110" spans="1:36" x14ac:dyDescent="0.25">
      <c r="A110" s="46"/>
      <c r="B110" s="46"/>
      <c r="C110" s="46"/>
      <c r="D110" s="57"/>
      <c r="E110" s="57"/>
      <c r="F110" s="243"/>
      <c r="G110" s="243"/>
      <c r="H110" s="15"/>
      <c r="I110" s="15"/>
      <c r="J110" s="15"/>
      <c r="K110" s="10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</row>
    <row r="111" spans="1:36" x14ac:dyDescent="0.25">
      <c r="A111" s="46"/>
      <c r="B111" s="46"/>
      <c r="C111" s="46"/>
      <c r="D111" s="57"/>
      <c r="E111" s="57"/>
      <c r="F111" s="243"/>
      <c r="G111" s="243"/>
      <c r="H111" s="15"/>
      <c r="I111" s="15"/>
      <c r="J111" s="15"/>
      <c r="K111" s="10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</row>
    <row r="112" spans="1:36" x14ac:dyDescent="0.25">
      <c r="A112" s="46"/>
      <c r="B112" s="46"/>
      <c r="C112" s="46"/>
      <c r="D112" s="57"/>
      <c r="E112" s="57"/>
      <c r="F112" s="243"/>
      <c r="G112" s="243"/>
      <c r="H112" s="15"/>
      <c r="I112" s="15"/>
      <c r="J112" s="15"/>
      <c r="K112" s="10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</row>
    <row r="113" spans="1:36" x14ac:dyDescent="0.25">
      <c r="A113" s="46"/>
      <c r="B113" s="46"/>
      <c r="C113" s="46"/>
      <c r="D113" s="57"/>
      <c r="E113" s="46"/>
      <c r="F113" s="46"/>
      <c r="G113" s="243"/>
      <c r="H113" s="15"/>
      <c r="I113" s="15"/>
      <c r="J113" s="15"/>
      <c r="K113" s="10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</row>
    <row r="114" spans="1:36" x14ac:dyDescent="0.25">
      <c r="A114" s="46"/>
      <c r="B114" s="46"/>
      <c r="C114" s="46"/>
      <c r="D114" s="46"/>
      <c r="E114" s="46"/>
      <c r="F114" s="46"/>
      <c r="G114" s="243"/>
      <c r="H114" s="15"/>
      <c r="I114" s="15"/>
      <c r="J114" s="15"/>
      <c r="K114" s="10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</row>
    <row r="115" spans="1:36" x14ac:dyDescent="0.25">
      <c r="A115" s="46"/>
      <c r="B115" s="46"/>
      <c r="C115" s="46"/>
      <c r="D115" s="46"/>
      <c r="E115" s="46"/>
      <c r="F115" s="46"/>
      <c r="G115" s="243"/>
      <c r="H115" s="15"/>
      <c r="I115" s="15"/>
      <c r="J115" s="15"/>
      <c r="K115" s="10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</row>
    <row r="116" spans="1:36" x14ac:dyDescent="0.25">
      <c r="A116" s="46"/>
      <c r="B116" s="46"/>
      <c r="C116" s="46"/>
      <c r="D116" s="46"/>
      <c r="E116" s="46"/>
      <c r="F116" s="46"/>
      <c r="G116" s="243"/>
      <c r="H116" s="15"/>
      <c r="I116" s="15"/>
      <c r="J116" s="15"/>
      <c r="K116" s="10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</row>
    <row r="117" spans="1:36" x14ac:dyDescent="0.25">
      <c r="A117" s="46"/>
      <c r="B117" s="46"/>
      <c r="C117" s="46"/>
      <c r="D117" s="46"/>
      <c r="E117" s="46"/>
      <c r="F117" s="46"/>
      <c r="G117" s="243"/>
      <c r="H117" s="15"/>
      <c r="I117" s="15"/>
      <c r="J117" s="15"/>
      <c r="K117" s="10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</row>
    <row r="118" spans="1:36" x14ac:dyDescent="0.25">
      <c r="A118" s="46"/>
      <c r="B118" s="46"/>
      <c r="C118" s="46"/>
      <c r="D118" s="46"/>
      <c r="E118" s="46"/>
      <c r="F118" s="46"/>
      <c r="G118" s="243"/>
      <c r="H118" s="15"/>
      <c r="I118" s="15"/>
      <c r="J118" s="15"/>
      <c r="K118" s="10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</row>
    <row r="119" spans="1:36" x14ac:dyDescent="0.25">
      <c r="A119" s="46"/>
      <c r="B119" s="46"/>
      <c r="C119" s="46"/>
      <c r="D119" s="46"/>
      <c r="E119" s="46"/>
      <c r="F119" s="46"/>
      <c r="G119" s="243"/>
      <c r="H119" s="15"/>
      <c r="I119" s="15"/>
      <c r="J119" s="15"/>
      <c r="K119" s="10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</row>
    <row r="120" spans="1:36" x14ac:dyDescent="0.25">
      <c r="A120" s="46"/>
      <c r="B120" s="46"/>
      <c r="C120" s="46"/>
      <c r="D120" s="46"/>
      <c r="E120" s="46"/>
      <c r="F120" s="46"/>
      <c r="G120" s="243"/>
      <c r="H120" s="15"/>
      <c r="I120" s="15"/>
      <c r="J120" s="15"/>
      <c r="K120" s="10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</row>
    <row r="121" spans="1:36" x14ac:dyDescent="0.25">
      <c r="A121" s="46"/>
      <c r="B121" s="46"/>
      <c r="C121" s="46"/>
      <c r="D121" s="46"/>
      <c r="E121" s="46"/>
      <c r="F121" s="46"/>
      <c r="G121" s="243"/>
      <c r="H121" s="15"/>
      <c r="I121" s="15"/>
      <c r="J121" s="15"/>
      <c r="K121" s="10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</row>
    <row r="122" spans="1:36" x14ac:dyDescent="0.25">
      <c r="A122" s="46"/>
      <c r="B122" s="46"/>
      <c r="C122" s="46"/>
      <c r="D122" s="46"/>
      <c r="E122" s="46"/>
      <c r="F122" s="46"/>
      <c r="G122" s="243"/>
      <c r="H122" s="15"/>
      <c r="I122" s="15"/>
      <c r="J122" s="15"/>
      <c r="K122" s="10"/>
    </row>
    <row r="123" spans="1:36" x14ac:dyDescent="0.25">
      <c r="G123" s="15"/>
      <c r="H123" s="15"/>
      <c r="I123" s="15"/>
      <c r="J123" s="15"/>
      <c r="K123" s="10"/>
    </row>
    <row r="124" spans="1:36" x14ac:dyDescent="0.25">
      <c r="G124" s="15"/>
      <c r="H124" s="15"/>
      <c r="I124" s="15"/>
      <c r="J124" s="15"/>
      <c r="K124" s="10"/>
    </row>
    <row r="125" spans="1:36" x14ac:dyDescent="0.25">
      <c r="G125" s="15"/>
      <c r="H125" s="15"/>
      <c r="I125" s="15"/>
      <c r="J125" s="15"/>
      <c r="K125" s="10"/>
    </row>
    <row r="126" spans="1:36" x14ac:dyDescent="0.25">
      <c r="G126" s="15"/>
      <c r="H126" s="15"/>
      <c r="I126" s="15"/>
      <c r="J126" s="15"/>
      <c r="K126" s="10"/>
    </row>
    <row r="127" spans="1:36" x14ac:dyDescent="0.25">
      <c r="G127" s="15"/>
      <c r="H127" s="15"/>
      <c r="I127" s="15"/>
      <c r="J127" s="15"/>
      <c r="K127" s="10"/>
    </row>
    <row r="128" spans="1:36" x14ac:dyDescent="0.25">
      <c r="G128" s="15"/>
      <c r="H128" s="15"/>
      <c r="I128" s="15"/>
      <c r="J128" s="15"/>
      <c r="K128" s="10"/>
    </row>
    <row r="129" spans="7:11" x14ac:dyDescent="0.25">
      <c r="G129" s="15"/>
      <c r="H129" s="15"/>
      <c r="I129" s="15"/>
      <c r="J129" s="15"/>
      <c r="K129" s="10"/>
    </row>
    <row r="130" spans="7:11" x14ac:dyDescent="0.25">
      <c r="G130" s="15"/>
      <c r="H130" s="15"/>
      <c r="I130" s="15"/>
      <c r="J130" s="15"/>
      <c r="K130" s="10"/>
    </row>
    <row r="131" spans="7:11" x14ac:dyDescent="0.25">
      <c r="G131" s="15"/>
      <c r="H131" s="15"/>
      <c r="I131" s="15"/>
      <c r="J131" s="15"/>
      <c r="K131" s="10"/>
    </row>
    <row r="132" spans="7:11" x14ac:dyDescent="0.25">
      <c r="G132" s="15"/>
      <c r="H132" s="15"/>
      <c r="I132" s="15"/>
      <c r="J132" s="15"/>
      <c r="K132" s="10"/>
    </row>
    <row r="133" spans="7:11" x14ac:dyDescent="0.25">
      <c r="G133" s="15"/>
      <c r="H133" s="15"/>
      <c r="I133" s="15"/>
      <c r="J133" s="15"/>
      <c r="K133" s="10"/>
    </row>
    <row r="134" spans="7:11" x14ac:dyDescent="0.25">
      <c r="G134" s="15"/>
      <c r="H134" s="15"/>
      <c r="I134" s="15"/>
      <c r="J134" s="15"/>
      <c r="K134" s="10"/>
    </row>
    <row r="135" spans="7:11" x14ac:dyDescent="0.25">
      <c r="G135" s="15"/>
      <c r="H135" s="15"/>
      <c r="I135" s="15"/>
      <c r="J135" s="15"/>
      <c r="K135" s="10"/>
    </row>
    <row r="136" spans="7:11" x14ac:dyDescent="0.25">
      <c r="G136" s="15"/>
      <c r="H136" s="15"/>
      <c r="I136" s="15"/>
      <c r="J136" s="15"/>
      <c r="K136" s="10"/>
    </row>
    <row r="137" spans="7:11" x14ac:dyDescent="0.25">
      <c r="G137" s="15"/>
      <c r="H137" s="15"/>
      <c r="I137" s="15"/>
      <c r="J137" s="15"/>
      <c r="K137" s="10"/>
    </row>
    <row r="138" spans="7:11" x14ac:dyDescent="0.25">
      <c r="G138" s="15"/>
      <c r="H138" s="15"/>
      <c r="I138" s="15"/>
      <c r="J138" s="15"/>
      <c r="K138" s="10"/>
    </row>
    <row r="139" spans="7:11" x14ac:dyDescent="0.25">
      <c r="G139" s="15"/>
      <c r="H139" s="15"/>
      <c r="I139" s="15"/>
      <c r="J139" s="15"/>
      <c r="K139" s="10"/>
    </row>
    <row r="140" spans="7:11" x14ac:dyDescent="0.25">
      <c r="G140" s="15"/>
      <c r="H140" s="15"/>
      <c r="I140" s="15"/>
      <c r="J140" s="15"/>
      <c r="K140" s="10"/>
    </row>
    <row r="141" spans="7:11" x14ac:dyDescent="0.25">
      <c r="G141" s="15"/>
      <c r="H141" s="15"/>
      <c r="I141" s="15"/>
      <c r="J141" s="15"/>
      <c r="K141" s="10"/>
    </row>
    <row r="142" spans="7:11" x14ac:dyDescent="0.25">
      <c r="G142" s="15"/>
      <c r="H142" s="15"/>
      <c r="I142" s="15"/>
      <c r="J142" s="15"/>
      <c r="K142" s="10"/>
    </row>
    <row r="143" spans="7:11" x14ac:dyDescent="0.25">
      <c r="G143" s="15"/>
      <c r="H143" s="15"/>
      <c r="I143" s="15"/>
      <c r="J143" s="15"/>
      <c r="K143" s="10"/>
    </row>
    <row r="144" spans="7:11" x14ac:dyDescent="0.25">
      <c r="G144" s="15"/>
      <c r="H144" s="15"/>
      <c r="I144" s="15"/>
      <c r="J144" s="15"/>
      <c r="K144" s="10"/>
    </row>
    <row r="145" spans="7:11" x14ac:dyDescent="0.25">
      <c r="G145" s="15"/>
      <c r="H145" s="15"/>
      <c r="I145" s="15"/>
      <c r="J145" s="15"/>
      <c r="K145" s="10"/>
    </row>
    <row r="146" spans="7:11" x14ac:dyDescent="0.25">
      <c r="G146" s="15"/>
      <c r="H146" s="15"/>
      <c r="I146" s="15"/>
      <c r="J146" s="15"/>
      <c r="K146" s="10"/>
    </row>
    <row r="147" spans="7:11" x14ac:dyDescent="0.25">
      <c r="G147" s="15"/>
      <c r="H147" s="15"/>
      <c r="I147" s="15"/>
      <c r="J147" s="15"/>
      <c r="K147" s="10"/>
    </row>
    <row r="148" spans="7:11" x14ac:dyDescent="0.25">
      <c r="G148" s="15"/>
      <c r="H148" s="15"/>
      <c r="I148" s="15"/>
      <c r="J148" s="15"/>
      <c r="K148" s="10"/>
    </row>
    <row r="149" spans="7:11" x14ac:dyDescent="0.25">
      <c r="G149" s="15"/>
      <c r="H149" s="15"/>
      <c r="I149" s="15"/>
      <c r="J149" s="15"/>
      <c r="K149" s="10"/>
    </row>
    <row r="150" spans="7:11" x14ac:dyDescent="0.25">
      <c r="G150" s="15"/>
      <c r="H150" s="15"/>
      <c r="I150" s="15"/>
      <c r="J150" s="15"/>
      <c r="K150" s="10"/>
    </row>
    <row r="151" spans="7:11" x14ac:dyDescent="0.25">
      <c r="G151" s="15"/>
      <c r="H151" s="15"/>
      <c r="I151" s="15"/>
      <c r="J151" s="15"/>
      <c r="K151" s="10"/>
    </row>
    <row r="152" spans="7:11" x14ac:dyDescent="0.25">
      <c r="G152" s="15"/>
      <c r="H152" s="15"/>
      <c r="I152" s="15"/>
      <c r="J152" s="15"/>
      <c r="K152" s="10"/>
    </row>
    <row r="153" spans="7:11" x14ac:dyDescent="0.25">
      <c r="G153" s="15"/>
      <c r="H153" s="15"/>
    </row>
    <row r="154" spans="7:11" x14ac:dyDescent="0.25">
      <c r="G154" s="15"/>
      <c r="H154" s="15"/>
    </row>
    <row r="155" spans="7:11" x14ac:dyDescent="0.25">
      <c r="G155" s="15"/>
      <c r="H155" s="15"/>
    </row>
    <row r="156" spans="7:11" x14ac:dyDescent="0.25">
      <c r="G156" s="15"/>
    </row>
    <row r="157" spans="7:11" x14ac:dyDescent="0.25">
      <c r="G157" s="15"/>
    </row>
    <row r="158" spans="7:11" x14ac:dyDescent="0.25">
      <c r="G158" s="15"/>
    </row>
    <row r="159" spans="7:11" x14ac:dyDescent="0.25">
      <c r="G159" s="15"/>
    </row>
    <row r="160" spans="7:11" x14ac:dyDescent="0.25">
      <c r="G160" s="15"/>
    </row>
    <row r="161" spans="7:7" x14ac:dyDescent="0.25">
      <c r="G161" s="15"/>
    </row>
    <row r="162" spans="7:7" x14ac:dyDescent="0.25">
      <c r="G162" s="15"/>
    </row>
    <row r="163" spans="7:7" x14ac:dyDescent="0.25">
      <c r="G163" s="15"/>
    </row>
    <row r="164" spans="7:7" x14ac:dyDescent="0.25">
      <c r="G164" s="15"/>
    </row>
    <row r="165" spans="7:7" x14ac:dyDescent="0.25">
      <c r="G165" s="15"/>
    </row>
    <row r="166" spans="7:7" x14ac:dyDescent="0.25">
      <c r="G166" s="15"/>
    </row>
    <row r="167" spans="7:7" x14ac:dyDescent="0.25">
      <c r="G167" s="15"/>
    </row>
    <row r="168" spans="7:7" x14ac:dyDescent="0.25">
      <c r="G168" s="15"/>
    </row>
    <row r="169" spans="7:7" x14ac:dyDescent="0.25">
      <c r="G169" s="15"/>
    </row>
    <row r="170" spans="7:7" x14ac:dyDescent="0.25">
      <c r="G170" s="15"/>
    </row>
    <row r="171" spans="7:7" x14ac:dyDescent="0.25">
      <c r="G171" s="15"/>
    </row>
    <row r="172" spans="7:7" x14ac:dyDescent="0.25">
      <c r="G172" s="16"/>
    </row>
  </sheetData>
  <mergeCells count="9">
    <mergeCell ref="L33:M35"/>
    <mergeCell ref="L17:M17"/>
    <mergeCell ref="D35:G35"/>
    <mergeCell ref="L32:M32"/>
    <mergeCell ref="B2:H2"/>
    <mergeCell ref="B3:H3"/>
    <mergeCell ref="A34:I34"/>
    <mergeCell ref="A33:I33"/>
    <mergeCell ref="A32:H32"/>
  </mergeCells>
  <dataValidations count="1">
    <dataValidation type="list" allowBlank="1" showInputMessage="1" showErrorMessage="1" sqref="D37" xr:uid="{F71DE0FA-3CDB-4767-A866-29E0D856435C}">
      <formula1>"24, 36, 48, 60"</formula1>
    </dataValidation>
  </dataValidations>
  <hyperlinks>
    <hyperlink ref="B23" r:id="rId1" xr:uid="{B98F799C-4D5C-4597-9C97-8F2D90324EE4}"/>
    <hyperlink ref="D30" r:id="rId2" xr:uid="{65D09519-6ABE-4ACA-B312-C5A161661B8D}"/>
  </hyperlinks>
  <pageMargins left="0.7" right="0.7" top="0.75" bottom="0.75" header="0.3" footer="0.3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B626-E1A4-4AD0-824A-09CE09B23836}">
  <dimension ref="A1:AO172"/>
  <sheetViews>
    <sheetView workbookViewId="0">
      <selection activeCell="D25" sqref="D25"/>
    </sheetView>
  </sheetViews>
  <sheetFormatPr defaultRowHeight="15" x14ac:dyDescent="0.25"/>
  <cols>
    <col min="1" max="1" width="1.5703125" customWidth="1"/>
    <col min="2" max="2" width="36.7109375" customWidth="1"/>
    <col min="3" max="3" width="0.7109375" customWidth="1"/>
    <col min="4" max="4" width="17.85546875" customWidth="1"/>
    <col min="5" max="5" width="17.28515625" customWidth="1"/>
    <col min="6" max="6" width="17.5703125" customWidth="1"/>
    <col min="7" max="7" width="18" customWidth="1"/>
    <col min="8" max="8" width="17.5703125" customWidth="1"/>
    <col min="9" max="9" width="2" customWidth="1"/>
    <col min="10" max="10" width="9.28515625" hidden="1" customWidth="1"/>
    <col min="11" max="11" width="16.5703125" hidden="1" customWidth="1"/>
    <col min="12" max="12" width="18.28515625" hidden="1" customWidth="1"/>
    <col min="13" max="13" width="19.42578125" hidden="1" customWidth="1"/>
    <col min="14" max="15" width="19.28515625" hidden="1" customWidth="1"/>
    <col min="16" max="16" width="18.7109375" hidden="1" customWidth="1"/>
    <col min="17" max="17" width="18.7109375" customWidth="1"/>
    <col min="18" max="18" width="12.42578125" customWidth="1"/>
    <col min="19" max="19" width="11.85546875" customWidth="1"/>
  </cols>
  <sheetData>
    <row r="1" spans="1:41" ht="3.75" customHeight="1" x14ac:dyDescent="0.25">
      <c r="A1" s="46"/>
      <c r="B1" s="7"/>
      <c r="C1" s="2"/>
      <c r="D1" s="46"/>
      <c r="E1" s="46"/>
      <c r="F1" s="46"/>
      <c r="G1" s="13"/>
      <c r="H1" s="3"/>
      <c r="I1" s="3"/>
      <c r="J1" s="3"/>
      <c r="K1" s="3"/>
      <c r="L1" s="3"/>
      <c r="M1" s="3"/>
      <c r="N1" s="3"/>
      <c r="O1" s="27"/>
      <c r="P1" s="26"/>
      <c r="Q1" s="1"/>
    </row>
    <row r="2" spans="1:41" ht="27" customHeight="1" x14ac:dyDescent="0.25">
      <c r="A2" s="46"/>
      <c r="B2" s="317" t="s">
        <v>97</v>
      </c>
      <c r="C2" s="317"/>
      <c r="D2" s="317"/>
      <c r="E2" s="317"/>
      <c r="F2" s="317"/>
      <c r="G2" s="317"/>
      <c r="H2" s="318"/>
      <c r="I2" s="13"/>
      <c r="J2" s="13"/>
      <c r="K2" s="25"/>
      <c r="L2" s="170">
        <f>D36</f>
        <v>100000</v>
      </c>
      <c r="M2" s="169"/>
      <c r="N2" s="25"/>
      <c r="O2" s="79"/>
      <c r="P2" s="80"/>
      <c r="Q2" s="81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41" ht="18" customHeight="1" x14ac:dyDescent="0.25">
      <c r="A3" s="46"/>
      <c r="B3" s="320" t="s">
        <v>85</v>
      </c>
      <c r="C3" s="320"/>
      <c r="D3" s="320"/>
      <c r="E3" s="320"/>
      <c r="F3" s="320"/>
      <c r="G3" s="320"/>
      <c r="H3" s="321"/>
      <c r="I3" s="13"/>
      <c r="J3" s="13"/>
      <c r="K3" s="25"/>
      <c r="L3" s="94">
        <f>D8-D9+D60</f>
        <v>46000</v>
      </c>
      <c r="M3" s="169"/>
      <c r="N3" s="25"/>
      <c r="O3" s="82"/>
      <c r="P3" s="83"/>
      <c r="Q3" s="81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1" ht="1.5" hidden="1" customHeight="1" x14ac:dyDescent="0.25">
      <c r="A4" s="46"/>
      <c r="B4" s="9"/>
      <c r="C4" s="73"/>
      <c r="D4" s="74"/>
      <c r="E4" s="72"/>
      <c r="F4" s="72"/>
      <c r="G4" s="17"/>
      <c r="H4" s="17"/>
      <c r="I4" s="17"/>
      <c r="J4" s="17"/>
      <c r="K4" s="25"/>
      <c r="L4" s="94"/>
      <c r="M4" s="169"/>
      <c r="N4" s="25"/>
      <c r="O4" s="82"/>
      <c r="P4" s="83"/>
      <c r="Q4" s="81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ht="4.5" hidden="1" customHeight="1" x14ac:dyDescent="0.25">
      <c r="A5" s="46"/>
      <c r="C5" s="43"/>
      <c r="D5" s="46"/>
      <c r="E5" s="46"/>
      <c r="F5" s="46"/>
      <c r="G5" s="17"/>
      <c r="H5" s="17"/>
      <c r="I5" s="17"/>
      <c r="J5" s="17"/>
      <c r="K5" s="25"/>
      <c r="L5" s="94"/>
      <c r="M5" s="169"/>
      <c r="N5" s="25"/>
      <c r="O5" s="82"/>
      <c r="P5" s="83"/>
      <c r="Q5" s="81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ht="19.5" customHeight="1" thickBot="1" x14ac:dyDescent="0.35">
      <c r="A6" s="46"/>
      <c r="B6" s="47" t="s">
        <v>1</v>
      </c>
      <c r="C6" s="44"/>
      <c r="D6" s="45"/>
      <c r="E6" s="45"/>
      <c r="F6" s="45"/>
      <c r="G6" s="17"/>
      <c r="H6" s="17"/>
      <c r="I6" s="17"/>
      <c r="J6" s="17"/>
      <c r="K6" s="25"/>
      <c r="L6" s="94"/>
      <c r="M6" s="169"/>
      <c r="N6" s="25"/>
      <c r="O6" s="79"/>
      <c r="P6" s="80"/>
      <c r="Q6" s="81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41" ht="19.5" customHeight="1" thickBot="1" x14ac:dyDescent="0.3">
      <c r="A7" s="46"/>
      <c r="B7" s="48" t="s">
        <v>3</v>
      </c>
      <c r="C7" s="8"/>
      <c r="D7" s="312" t="str">
        <f>'Small Business'!D7</f>
        <v>ABC Company</v>
      </c>
      <c r="F7" s="46"/>
      <c r="G7" s="13"/>
      <c r="H7" s="13"/>
      <c r="I7" s="13"/>
      <c r="J7" s="13"/>
      <c r="K7" s="25"/>
      <c r="L7" s="94"/>
      <c r="M7" s="169"/>
      <c r="N7" s="25"/>
      <c r="O7" s="82"/>
      <c r="P7" s="83"/>
      <c r="Q7" s="81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</row>
    <row r="8" spans="1:41" ht="20.25" customHeight="1" thickBot="1" x14ac:dyDescent="0.35">
      <c r="A8" s="46"/>
      <c r="B8" s="49" t="s">
        <v>7</v>
      </c>
      <c r="C8" s="44"/>
      <c r="D8" s="307">
        <f>'Small Business'!D8</f>
        <v>57000</v>
      </c>
      <c r="E8" s="46"/>
      <c r="F8" s="46"/>
      <c r="G8" s="13"/>
      <c r="H8" s="13"/>
      <c r="I8" s="13"/>
      <c r="J8" s="13"/>
      <c r="K8" s="25"/>
      <c r="L8" s="94"/>
      <c r="M8" s="169"/>
      <c r="N8" s="25"/>
      <c r="O8" s="82"/>
      <c r="P8" s="83"/>
      <c r="Q8" s="81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41" ht="20.25" customHeight="1" thickBot="1" x14ac:dyDescent="0.3">
      <c r="A9" s="46"/>
      <c r="B9" s="50" t="s">
        <v>10</v>
      </c>
      <c r="C9" s="44"/>
      <c r="D9" s="307">
        <f>'Small Business'!D9</f>
        <v>11000</v>
      </c>
      <c r="E9" s="51"/>
      <c r="F9" s="89"/>
      <c r="G9" s="13"/>
      <c r="H9" s="13"/>
      <c r="I9" s="13"/>
      <c r="J9" s="13"/>
      <c r="K9" s="25"/>
      <c r="L9" s="94"/>
      <c r="M9" s="169"/>
      <c r="N9" s="25"/>
      <c r="O9" s="82"/>
      <c r="P9" s="83"/>
      <c r="Q9" s="81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1:41" ht="20.25" customHeight="1" thickBot="1" x14ac:dyDescent="0.3">
      <c r="A10" s="46"/>
      <c r="B10" s="50" t="s">
        <v>14</v>
      </c>
      <c r="C10" s="258"/>
      <c r="D10" s="307">
        <f>'Small Business'!D10</f>
        <v>40411.75</v>
      </c>
      <c r="E10" s="51"/>
      <c r="F10" s="89"/>
      <c r="G10" s="17"/>
      <c r="H10" s="17"/>
      <c r="I10" s="17"/>
      <c r="J10" s="17"/>
      <c r="K10" s="25"/>
      <c r="L10" s="94"/>
      <c r="M10" s="169"/>
      <c r="N10" s="25"/>
      <c r="O10" s="82"/>
      <c r="P10" s="83"/>
      <c r="Q10" s="81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ht="15" customHeight="1" x14ac:dyDescent="0.25">
      <c r="A11" s="46"/>
      <c r="B11" s="28"/>
      <c r="C11" s="53"/>
      <c r="D11" s="54"/>
      <c r="E11" s="19"/>
      <c r="F11" s="90"/>
      <c r="G11" s="17"/>
      <c r="H11" s="17"/>
      <c r="I11" s="17"/>
      <c r="J11" s="17"/>
      <c r="K11" s="25"/>
      <c r="L11" s="94"/>
      <c r="M11" s="169"/>
      <c r="N11" s="25"/>
      <c r="O11" s="82"/>
      <c r="P11" s="83"/>
      <c r="Q11" s="81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ht="20.25" customHeight="1" x14ac:dyDescent="0.3">
      <c r="A12" s="46"/>
      <c r="B12" s="59" t="s">
        <v>16</v>
      </c>
      <c r="C12" s="55"/>
      <c r="D12" s="60">
        <f>D8-D9</f>
        <v>46000</v>
      </c>
      <c r="E12" s="52"/>
      <c r="F12" s="91"/>
      <c r="G12" s="13"/>
      <c r="H12" s="13"/>
      <c r="I12" s="13"/>
      <c r="J12" s="13"/>
      <c r="K12" s="21"/>
      <c r="L12" s="14"/>
      <c r="M12" s="21"/>
      <c r="N12" s="106"/>
      <c r="O12" s="82"/>
      <c r="P12" s="83"/>
      <c r="Q12" s="81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ht="8.25" customHeight="1" thickBot="1" x14ac:dyDescent="0.3">
      <c r="A13" s="46"/>
      <c r="B13" s="2"/>
      <c r="C13" s="56"/>
      <c r="D13" s="46"/>
      <c r="E13" s="46"/>
      <c r="F13" s="46"/>
      <c r="G13" s="13"/>
      <c r="H13" s="13"/>
      <c r="I13" s="13"/>
      <c r="J13" s="13"/>
      <c r="K13" s="21"/>
      <c r="L13" s="95" t="s">
        <v>98</v>
      </c>
      <c r="M13" s="104" t="s">
        <v>19</v>
      </c>
      <c r="N13" s="108" t="s">
        <v>34</v>
      </c>
      <c r="O13" s="109" t="s">
        <v>99</v>
      </c>
      <c r="P13" s="290" t="s">
        <v>100</v>
      </c>
      <c r="Q13" s="81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ht="19.5" customHeight="1" thickBot="1" x14ac:dyDescent="0.35">
      <c r="A14" s="46"/>
      <c r="B14" s="62" t="s">
        <v>78</v>
      </c>
      <c r="C14" s="61"/>
      <c r="D14" s="308">
        <f>'Small Business'!D14</f>
        <v>165325</v>
      </c>
      <c r="E14" s="46"/>
      <c r="F14" s="46"/>
      <c r="G14" s="13"/>
      <c r="H14" s="17"/>
      <c r="I14" s="17"/>
      <c r="J14" s="17"/>
      <c r="K14" s="96" t="s">
        <v>25</v>
      </c>
      <c r="L14" s="116">
        <f>D12*0.12</f>
        <v>5520</v>
      </c>
      <c r="M14" s="115">
        <f>D12*0.15</f>
        <v>6900</v>
      </c>
      <c r="N14" s="110">
        <f>D12*0.18</f>
        <v>8280</v>
      </c>
      <c r="O14" s="111">
        <f>D12*0.19</f>
        <v>8740</v>
      </c>
      <c r="P14" s="289">
        <f>D12*0.21</f>
        <v>9660</v>
      </c>
      <c r="Q14" s="81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ht="9" customHeight="1" x14ac:dyDescent="0.25">
      <c r="A15" s="46"/>
      <c r="B15" s="46"/>
      <c r="C15" s="58"/>
      <c r="D15" s="46"/>
      <c r="E15" s="46"/>
      <c r="F15" s="46"/>
      <c r="G15" s="34"/>
      <c r="H15" s="3"/>
      <c r="I15" s="3"/>
      <c r="J15" s="3"/>
      <c r="K15" s="97"/>
      <c r="L15" s="38" t="s">
        <v>101</v>
      </c>
      <c r="M15" s="104" t="s">
        <v>28</v>
      </c>
      <c r="N15" s="112" t="s">
        <v>34</v>
      </c>
      <c r="O15" s="109" t="s">
        <v>102</v>
      </c>
      <c r="P15" s="291" t="s">
        <v>100</v>
      </c>
      <c r="Q15" s="81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ht="19.5" customHeight="1" x14ac:dyDescent="0.3">
      <c r="A16" s="46"/>
      <c r="B16" s="47" t="s">
        <v>32</v>
      </c>
      <c r="C16" s="63"/>
      <c r="D16" s="46"/>
      <c r="E16" s="46"/>
      <c r="F16" s="46"/>
      <c r="G16" s="13"/>
      <c r="H16" s="3"/>
      <c r="I16" s="3"/>
      <c r="J16" s="3"/>
      <c r="K16" s="97"/>
      <c r="L16" s="116">
        <f>K24</f>
        <v>8266.25</v>
      </c>
      <c r="M16" s="115">
        <f>K24</f>
        <v>8266.25</v>
      </c>
      <c r="N16" s="114">
        <f>K24</f>
        <v>8266.25</v>
      </c>
      <c r="O16" s="111">
        <f>K24</f>
        <v>8266.25</v>
      </c>
      <c r="P16" s="293">
        <f>K24</f>
        <v>8266.25</v>
      </c>
      <c r="Q16" s="81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ht="19.5" customHeight="1" x14ac:dyDescent="0.45">
      <c r="A17" s="46"/>
      <c r="B17" s="248"/>
      <c r="C17" s="46"/>
      <c r="D17" s="65" t="s">
        <v>121</v>
      </c>
      <c r="E17" s="66" t="s">
        <v>92</v>
      </c>
      <c r="F17" s="65" t="s">
        <v>93</v>
      </c>
      <c r="G17" s="65" t="s">
        <v>94</v>
      </c>
      <c r="H17" s="65" t="s">
        <v>95</v>
      </c>
      <c r="I17" s="92"/>
      <c r="J17" s="92"/>
      <c r="K17" s="96" t="s">
        <v>37</v>
      </c>
      <c r="L17" s="331" t="s">
        <v>104</v>
      </c>
      <c r="M17" s="332"/>
      <c r="N17" s="3"/>
      <c r="O17" s="86"/>
      <c r="P17" s="83"/>
      <c r="Q17" s="81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ht="19.5" hidden="1" customHeight="1" x14ac:dyDescent="0.25">
      <c r="A18" s="46"/>
      <c r="B18" s="67" t="s">
        <v>39</v>
      </c>
      <c r="C18" s="46"/>
      <c r="D18" s="75" t="str">
        <f>IF(D12&lt;250000, "Yes", "No")</f>
        <v>Yes</v>
      </c>
      <c r="E18" s="75" t="str">
        <f>IF(D12&lt;250000, "Yes", "No")</f>
        <v>Yes</v>
      </c>
      <c r="F18" s="75" t="str">
        <f>IF(D12&lt;250000, "Yes", "No")</f>
        <v>Yes</v>
      </c>
      <c r="G18" s="75" t="str">
        <f>IF(D12&lt;250000, "Yes", "No")</f>
        <v>Yes</v>
      </c>
      <c r="H18" s="3"/>
      <c r="I18" s="3"/>
      <c r="J18" s="3"/>
      <c r="K18" s="97"/>
      <c r="L18" s="39" t="s">
        <v>40</v>
      </c>
      <c r="M18" s="105" t="s">
        <v>41</v>
      </c>
      <c r="N18" s="108">
        <v>48</v>
      </c>
      <c r="O18" s="113">
        <v>60</v>
      </c>
      <c r="P18" s="83"/>
      <c r="Q18" s="81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ht="19.5" customHeight="1" x14ac:dyDescent="0.3">
      <c r="A19" s="46"/>
      <c r="B19" s="179" t="s">
        <v>96</v>
      </c>
      <c r="C19" s="46"/>
      <c r="D19" s="303">
        <f>'Small Business'!R14</f>
        <v>-9.2547382841380492E-9</v>
      </c>
      <c r="E19" s="304">
        <f>'Small Business'!S14</f>
        <v>-1.9950074837996714E-8</v>
      </c>
      <c r="F19" s="305">
        <f>'Small Business'!T14</f>
        <v>2.3639675666770022E-4</v>
      </c>
      <c r="G19" s="306">
        <f>'Small Business'!U14</f>
        <v>2.6194809257030785E-2</v>
      </c>
      <c r="H19" s="276">
        <f>'Small Business'!V14</f>
        <v>3.5082951930772641E-2</v>
      </c>
      <c r="I19" s="3"/>
      <c r="J19" s="3"/>
      <c r="K19" s="3"/>
      <c r="L19" s="118">
        <f>L14/D14</f>
        <v>3.3388779676394982E-2</v>
      </c>
      <c r="M19" s="119">
        <f>M14/D14</f>
        <v>4.1735974595493726E-2</v>
      </c>
      <c r="N19" s="117">
        <f>N14/D14</f>
        <v>5.008316951459247E-2</v>
      </c>
      <c r="O19" s="120">
        <f>O14/D14</f>
        <v>5.286556782095872E-2</v>
      </c>
      <c r="P19" s="120">
        <f>P14/D14</f>
        <v>5.8430364433691213E-2</v>
      </c>
      <c r="Q19" s="81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:41" ht="19.5" customHeight="1" x14ac:dyDescent="0.3">
      <c r="A20" s="46"/>
      <c r="B20" s="49" t="s">
        <v>45</v>
      </c>
      <c r="C20" s="46"/>
      <c r="D20" s="156">
        <f>D12</f>
        <v>46000</v>
      </c>
      <c r="E20" s="156">
        <f>D12</f>
        <v>46000</v>
      </c>
      <c r="F20" s="156">
        <f>D12</f>
        <v>46000</v>
      </c>
      <c r="G20" s="156">
        <f>D12</f>
        <v>46000</v>
      </c>
      <c r="H20" s="156">
        <f>D12</f>
        <v>46000</v>
      </c>
      <c r="I20" s="3"/>
      <c r="J20" s="3"/>
      <c r="K20" s="98" t="s">
        <v>16</v>
      </c>
      <c r="L20" s="31" t="s">
        <v>44</v>
      </c>
      <c r="M20" s="30"/>
      <c r="N20" s="107"/>
      <c r="O20" s="82"/>
      <c r="P20" s="83"/>
      <c r="Q20" s="81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:41" ht="6.75" customHeight="1" x14ac:dyDescent="0.25">
      <c r="A21" s="46"/>
      <c r="B21" s="46"/>
      <c r="C21" s="46"/>
      <c r="D21" s="46"/>
      <c r="E21" s="46"/>
      <c r="F21" s="46"/>
      <c r="G21" s="13"/>
      <c r="H21" s="3"/>
      <c r="I21" s="3"/>
      <c r="J21" s="3"/>
      <c r="K21" s="97"/>
      <c r="L21" s="29" t="s">
        <v>46</v>
      </c>
      <c r="M21" s="10"/>
      <c r="N21" s="25"/>
      <c r="O21" s="82"/>
      <c r="P21" s="83"/>
      <c r="Q21" s="81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ht="19.5" customHeight="1" x14ac:dyDescent="0.3">
      <c r="A22" s="46"/>
      <c r="B22" s="47" t="s">
        <v>47</v>
      </c>
      <c r="C22" s="2"/>
      <c r="D22" s="46"/>
      <c r="E22" s="46"/>
      <c r="F22" s="46"/>
      <c r="G22" s="13"/>
      <c r="H22" s="3"/>
      <c r="I22" s="3"/>
      <c r="J22" s="3"/>
      <c r="K22" s="2"/>
      <c r="L22" s="37" t="s">
        <v>48</v>
      </c>
      <c r="M22" s="37" t="s">
        <v>49</v>
      </c>
      <c r="N22" s="122" t="s">
        <v>50</v>
      </c>
      <c r="O22" s="121" t="s">
        <v>50</v>
      </c>
      <c r="P22" s="294" t="s">
        <v>51</v>
      </c>
      <c r="Q22" s="81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ht="18" customHeight="1" x14ac:dyDescent="0.3">
      <c r="A23" s="46"/>
      <c r="B23" s="249" t="s">
        <v>52</v>
      </c>
      <c r="C23" s="2"/>
      <c r="D23" s="76" t="s">
        <v>121</v>
      </c>
      <c r="E23" s="77" t="s">
        <v>92</v>
      </c>
      <c r="F23" s="76" t="s">
        <v>122</v>
      </c>
      <c r="G23" s="65" t="s">
        <v>94</v>
      </c>
      <c r="H23" s="65" t="s">
        <v>95</v>
      </c>
      <c r="I23" s="92"/>
      <c r="J23" s="92"/>
      <c r="K23" s="99" t="s">
        <v>54</v>
      </c>
      <c r="L23" s="35" t="str">
        <f>IF(OR(D53&gt;"0",D53&gt;0), D53,"0")</f>
        <v>0</v>
      </c>
      <c r="M23" s="35" t="str">
        <f>IF(OR(E53&gt;"0",E53&gt;0), E53,"0")</f>
        <v>0</v>
      </c>
      <c r="N23" s="35">
        <f>IF(OR(F53&gt;"0",F53&gt;0), F53,"0")</f>
        <v>13.75</v>
      </c>
      <c r="O23" s="292">
        <f>IF(OR(G53&gt;"0",G53&gt;0), G53,"0")</f>
        <v>473.75</v>
      </c>
      <c r="P23" s="292">
        <f>IF(OR(H53&gt;"0",H53&gt;0), H53,"0")</f>
        <v>1393.75</v>
      </c>
      <c r="Q23" s="81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:41" ht="22.5" hidden="1" x14ac:dyDescent="0.45">
      <c r="A24" s="46"/>
      <c r="B24" s="67" t="s">
        <v>39</v>
      </c>
      <c r="C24" s="2"/>
      <c r="D24" s="75" t="str">
        <f>IF(D12&lt;250000, "Yes", "No")</f>
        <v>Yes</v>
      </c>
      <c r="E24" s="75" t="str">
        <f>IF(D12&lt;250000, "Yes", "No")</f>
        <v>Yes</v>
      </c>
      <c r="F24" s="75"/>
      <c r="G24" s="94"/>
      <c r="H24" s="94"/>
      <c r="I24" s="3"/>
      <c r="J24" s="3"/>
      <c r="K24" s="100">
        <f>D14*0.05</f>
        <v>8266.25</v>
      </c>
      <c r="L24" s="41" t="s">
        <v>56</v>
      </c>
      <c r="M24" s="36"/>
      <c r="N24" s="107"/>
      <c r="O24" s="82"/>
      <c r="P24" s="83"/>
      <c r="Q24" s="81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ht="18.75" customHeight="1" x14ac:dyDescent="0.25">
      <c r="A25" s="46"/>
      <c r="B25" s="179" t="s">
        <v>57</v>
      </c>
      <c r="C25" s="2"/>
      <c r="D25" s="129">
        <f>'Small Business'!R12</f>
        <v>3833.3332875427577</v>
      </c>
      <c r="E25" s="129">
        <f>'Small Business'!S12</f>
        <v>1916.6666084608867</v>
      </c>
      <c r="F25" s="129">
        <f>'Small Business'!T12</f>
        <v>1278.2435110080739</v>
      </c>
      <c r="G25" s="129">
        <f>'Small Business'!U12</f>
        <v>1010.4612990712012</v>
      </c>
      <c r="H25" s="129">
        <f>'Small Business'!V12</f>
        <v>836.99116286666163</v>
      </c>
      <c r="I25" s="3"/>
      <c r="J25" s="3"/>
      <c r="K25" s="100"/>
      <c r="L25" s="31" t="s">
        <v>58</v>
      </c>
      <c r="M25" s="17"/>
      <c r="N25" s="106"/>
      <c r="O25" s="82"/>
      <c r="P25" s="83"/>
      <c r="Q25" s="81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ht="18.75" customHeight="1" x14ac:dyDescent="0.25">
      <c r="A26" s="46"/>
      <c r="B26" s="179" t="s">
        <v>106</v>
      </c>
      <c r="C26" s="2"/>
      <c r="D26" s="129">
        <f>D10/12</f>
        <v>3367.6458333333335</v>
      </c>
      <c r="E26" s="129">
        <f>D10/12</f>
        <v>3367.6458333333335</v>
      </c>
      <c r="F26" s="129">
        <f>D10/12</f>
        <v>3367.6458333333335</v>
      </c>
      <c r="G26" s="132">
        <f>D10/12</f>
        <v>3367.6458333333335</v>
      </c>
      <c r="H26" s="132">
        <f>D10/12</f>
        <v>3367.6458333333335</v>
      </c>
      <c r="I26" s="3"/>
      <c r="J26" s="3"/>
      <c r="K26" s="100"/>
      <c r="L26" s="199"/>
      <c r="M26" s="3"/>
      <c r="N26" s="3"/>
      <c r="O26" s="86"/>
      <c r="P26" s="87"/>
      <c r="Q26" s="81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ht="18.75" customHeight="1" x14ac:dyDescent="0.25">
      <c r="A27" s="46"/>
      <c r="B27" s="179" t="s">
        <v>61</v>
      </c>
      <c r="C27" s="2"/>
      <c r="D27" s="129">
        <f>D26-D25</f>
        <v>-465.68745420942423</v>
      </c>
      <c r="E27" s="129">
        <f t="shared" ref="E27:H27" si="0">E26-E25</f>
        <v>1450.9792248724468</v>
      </c>
      <c r="F27" s="129">
        <f t="shared" si="0"/>
        <v>2089.4023223252598</v>
      </c>
      <c r="G27" s="129">
        <f t="shared" si="0"/>
        <v>2357.1845342621323</v>
      </c>
      <c r="H27" s="129">
        <f t="shared" si="0"/>
        <v>2530.6546704666716</v>
      </c>
      <c r="I27" s="3"/>
      <c r="J27" s="3"/>
      <c r="K27" s="100"/>
      <c r="L27" s="199"/>
      <c r="M27" s="3"/>
      <c r="N27" s="3"/>
      <c r="O27" s="86"/>
      <c r="P27" s="87"/>
      <c r="Q27" s="81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pans="1:41" ht="9" customHeight="1" x14ac:dyDescent="0.25">
      <c r="A28" s="46"/>
      <c r="B28" s="231"/>
      <c r="C28" s="2"/>
      <c r="D28" s="250"/>
      <c r="E28" s="251"/>
      <c r="F28" s="251"/>
      <c r="G28" s="223"/>
      <c r="H28" s="3"/>
      <c r="I28" s="3"/>
      <c r="J28" s="3"/>
      <c r="K28" s="100"/>
      <c r="L28" s="199"/>
      <c r="M28" s="3"/>
      <c r="N28" s="3"/>
      <c r="O28" s="86"/>
      <c r="P28" s="87"/>
      <c r="Q28" s="81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:41" ht="20.25" customHeight="1" x14ac:dyDescent="0.35">
      <c r="A29" s="46"/>
      <c r="B29" s="224" t="s">
        <v>107</v>
      </c>
      <c r="C29" s="137"/>
      <c r="D29" s="278" t="s">
        <v>63</v>
      </c>
      <c r="E29" s="279"/>
      <c r="F29" s="279"/>
      <c r="G29" s="279"/>
      <c r="H29" s="283"/>
      <c r="I29" s="17"/>
      <c r="J29" s="13"/>
      <c r="K29" s="101" t="s">
        <v>48</v>
      </c>
      <c r="L29" s="37" t="s">
        <v>48</v>
      </c>
      <c r="M29" s="123" t="s">
        <v>49</v>
      </c>
      <c r="N29" s="125"/>
      <c r="O29" s="126"/>
      <c r="P29" s="29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ht="32.25" customHeight="1" x14ac:dyDescent="0.35">
      <c r="A30" s="46"/>
      <c r="B30" s="225"/>
      <c r="C30" s="138"/>
      <c r="D30" s="280" t="s">
        <v>11</v>
      </c>
      <c r="E30" s="281"/>
      <c r="F30" s="282" t="s">
        <v>12</v>
      </c>
      <c r="G30" s="282"/>
      <c r="H30" s="284"/>
      <c r="I30" s="69"/>
      <c r="J30" s="69"/>
      <c r="L30" s="40" t="str">
        <f>IF(OR(D54&gt;"0",D54&gt;0),D55, "0")</f>
        <v>0</v>
      </c>
      <c r="M30" s="124" t="str">
        <f>IF(OR(D54&gt;"0",D54&gt;0),E55, "0")</f>
        <v>0</v>
      </c>
      <c r="N30" s="124" t="str">
        <f>IF(OR(D54&gt;"0",D54&gt;0),F55, "0")</f>
        <v>0</v>
      </c>
      <c r="O30" s="40" t="str">
        <f>IF(OR(EE9&gt;"0",D54&gt;0),G55, "0")</f>
        <v>0</v>
      </c>
      <c r="P30" s="19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1:41" ht="3.75" customHeight="1" x14ac:dyDescent="0.35">
      <c r="A31" s="46"/>
      <c r="B31" s="225"/>
      <c r="C31" s="229"/>
      <c r="D31" s="285"/>
      <c r="E31" s="285"/>
      <c r="F31" s="47"/>
      <c r="G31" s="47"/>
      <c r="H31" s="69"/>
      <c r="I31" s="69"/>
      <c r="J31" s="69"/>
      <c r="L31" s="42" t="s">
        <v>66</v>
      </c>
      <c r="M31" s="42"/>
      <c r="N31" s="82"/>
      <c r="O31" s="83"/>
      <c r="P31" s="81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1:41" x14ac:dyDescent="0.25">
      <c r="A32" s="46"/>
      <c r="B32" s="286" t="s">
        <v>64</v>
      </c>
      <c r="C32" s="286"/>
      <c r="D32" s="286"/>
      <c r="E32" s="286"/>
      <c r="F32" s="286"/>
      <c r="G32" s="286"/>
      <c r="H32" s="288"/>
      <c r="I32" s="70"/>
      <c r="J32" s="70"/>
      <c r="L32" s="319"/>
      <c r="M32" s="319"/>
      <c r="N32" s="82"/>
      <c r="O32" s="83"/>
      <c r="P32" s="81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41" x14ac:dyDescent="0.25">
      <c r="A33" s="46"/>
      <c r="B33" s="286" t="s">
        <v>123</v>
      </c>
      <c r="C33" s="286"/>
      <c r="D33" s="286"/>
      <c r="E33" s="286"/>
      <c r="F33" s="286"/>
      <c r="G33" s="286"/>
      <c r="H33" s="288"/>
      <c r="I33" s="71"/>
      <c r="J33" s="71"/>
      <c r="L33" s="346"/>
      <c r="M33" s="329"/>
      <c r="N33" s="82"/>
      <c r="O33" s="83"/>
      <c r="P33" s="81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:41" ht="11.25" customHeight="1" x14ac:dyDescent="0.25">
      <c r="A34" s="46"/>
      <c r="B34" s="287"/>
      <c r="C34" s="287"/>
      <c r="D34" s="287"/>
      <c r="E34" s="287"/>
      <c r="F34" s="287"/>
      <c r="G34" s="287"/>
      <c r="H34" s="288"/>
      <c r="I34" s="71"/>
      <c r="J34" s="71"/>
      <c r="L34" s="329"/>
      <c r="M34" s="329"/>
      <c r="N34" s="82"/>
      <c r="O34" s="83"/>
      <c r="P34" s="81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pans="1:41" ht="0.75" customHeight="1" x14ac:dyDescent="0.3">
      <c r="A35" s="46"/>
      <c r="B35" s="68" t="s">
        <v>110</v>
      </c>
      <c r="C35" s="58"/>
      <c r="D35" s="336"/>
      <c r="E35" s="336"/>
      <c r="F35" s="336"/>
      <c r="G35" s="336"/>
      <c r="H35" s="70"/>
      <c r="I35" s="14"/>
      <c r="J35" s="14"/>
      <c r="K35" s="21"/>
      <c r="L35" s="330"/>
      <c r="M35" s="330"/>
      <c r="N35" s="82"/>
      <c r="O35" s="83"/>
      <c r="P35" s="81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ht="15.75" hidden="1" x14ac:dyDescent="0.25">
      <c r="A36" s="46"/>
      <c r="B36" s="46" t="s">
        <v>111</v>
      </c>
      <c r="C36" s="138"/>
      <c r="D36" s="149">
        <v>100000</v>
      </c>
      <c r="E36" s="141"/>
      <c r="F36" s="141"/>
      <c r="G36" s="142"/>
      <c r="H36" s="71"/>
      <c r="I36" s="14"/>
      <c r="J36" s="14"/>
      <c r="K36" s="21"/>
      <c r="L36" s="140"/>
      <c r="M36" s="140"/>
      <c r="N36" s="82"/>
      <c r="O36" s="83"/>
      <c r="P36" s="81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41" ht="15.75" hidden="1" x14ac:dyDescent="0.25">
      <c r="A37" s="46"/>
      <c r="B37" s="46" t="s">
        <v>69</v>
      </c>
      <c r="C37" s="46"/>
      <c r="D37" s="150">
        <v>24</v>
      </c>
      <c r="E37" s="70">
        <v>36</v>
      </c>
      <c r="F37" s="70">
        <v>48</v>
      </c>
      <c r="G37" s="70">
        <v>60</v>
      </c>
      <c r="H37" s="71"/>
      <c r="I37" s="14"/>
      <c r="J37" s="14"/>
      <c r="K37" s="21"/>
      <c r="L37" s="140"/>
      <c r="M37" s="140"/>
      <c r="N37" s="82"/>
      <c r="O37" s="83"/>
      <c r="P37" s="81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hidden="1" x14ac:dyDescent="0.25">
      <c r="A38" s="46"/>
      <c r="B38" s="46" t="s">
        <v>16</v>
      </c>
      <c r="C38" s="137"/>
      <c r="E38" s="143"/>
      <c r="F38" s="71"/>
      <c r="G38" s="71"/>
      <c r="H38" s="14"/>
      <c r="I38" s="14"/>
      <c r="J38" s="14"/>
      <c r="K38" s="21"/>
      <c r="L38" s="171"/>
      <c r="M38" s="171"/>
      <c r="N38" s="82"/>
      <c r="O38" s="83"/>
      <c r="P38" s="81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ht="15.75" hidden="1" x14ac:dyDescent="0.25">
      <c r="A39" s="46"/>
      <c r="B39" s="46" t="s">
        <v>112</v>
      </c>
      <c r="C39" s="137"/>
      <c r="D39" s="173">
        <f>L44+D9</f>
        <v>111000</v>
      </c>
      <c r="E39" s="143"/>
      <c r="F39" s="71"/>
      <c r="G39" s="71"/>
      <c r="H39" s="14"/>
      <c r="I39" s="21"/>
      <c r="J39" s="21"/>
      <c r="K39" s="21"/>
      <c r="L39" s="167" cm="1">
        <f t="array" ref="L39">_xlfn.IFS(D37=24, L43,D37=36,M43, D37=48,N43, D37=60,O43)</f>
        <v>100000</v>
      </c>
      <c r="M39" s="168" t="str" cm="1">
        <f t="array" ref="M39">_xlfn.IFS(D37=24,L40,D37=36,M40,D37=48,N40,D37=60,O40)</f>
        <v>0</v>
      </c>
      <c r="N39" s="82"/>
      <c r="O39" s="83"/>
      <c r="P39" s="81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idden="1" x14ac:dyDescent="0.25">
      <c r="A40" s="46"/>
      <c r="B40" s="22" t="s">
        <v>113</v>
      </c>
      <c r="C40" s="58"/>
      <c r="E40" s="46"/>
      <c r="F40" s="46"/>
      <c r="G40" s="14"/>
      <c r="H40" s="14"/>
      <c r="I40" s="17"/>
      <c r="J40" s="17"/>
      <c r="K40" s="21"/>
      <c r="L40" s="161" t="str">
        <f>IF(L41=0, "0", L41)</f>
        <v>0</v>
      </c>
      <c r="M40" s="161" t="str">
        <f>IF(M41=0, "0", M41)</f>
        <v>0</v>
      </c>
      <c r="N40" s="161">
        <f>IF(N41=0, "0", N41)</f>
        <v>16.098817468680483</v>
      </c>
      <c r="O40" s="161">
        <f>IF(O41=0, "0", O41)</f>
        <v>566.07718962839056</v>
      </c>
      <c r="P40" s="85"/>
      <c r="Q40" s="81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:41" ht="15.75" hidden="1" x14ac:dyDescent="0.25">
      <c r="A41" s="46"/>
      <c r="B41" s="22" t="s">
        <v>114</v>
      </c>
      <c r="C41" s="58"/>
      <c r="D41" s="159"/>
      <c r="E41" s="46"/>
      <c r="F41" s="46"/>
      <c r="G41" s="14"/>
      <c r="H41" s="14"/>
      <c r="I41" s="18"/>
      <c r="J41" s="18"/>
      <c r="K41" s="21">
        <v>24</v>
      </c>
      <c r="L41" s="164">
        <f>IF(L16&gt;L14,0,(L23/D51))</f>
        <v>0</v>
      </c>
      <c r="M41" s="164">
        <f>IF(M16&gt;M14,0,(M23/E51))</f>
        <v>0</v>
      </c>
      <c r="N41" s="164">
        <f>IF(N16&gt;N14,0,(N23/F51))</f>
        <v>16.098817468680483</v>
      </c>
      <c r="O41" s="164">
        <f>IF(O16&gt;O14,0,(O23/G51))</f>
        <v>566.07718962839056</v>
      </c>
      <c r="P41" s="83"/>
      <c r="Q41" s="81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:41" ht="15.75" hidden="1" x14ac:dyDescent="0.25">
      <c r="A42" s="46"/>
      <c r="B42" s="22" t="s">
        <v>43</v>
      </c>
      <c r="C42" s="58"/>
      <c r="D42" s="159"/>
      <c r="E42" s="46"/>
      <c r="F42" s="46"/>
      <c r="G42" s="14"/>
      <c r="H42" s="21"/>
      <c r="I42" s="17"/>
      <c r="J42" s="17"/>
      <c r="K42" s="21"/>
      <c r="L42" s="164"/>
      <c r="M42" s="164"/>
      <c r="N42" s="165"/>
      <c r="O42" s="166"/>
      <c r="P42" s="83"/>
      <c r="Q42" s="81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1:41" ht="15.75" hidden="1" x14ac:dyDescent="0.25">
      <c r="A43" s="46"/>
      <c r="B43" s="22" t="s">
        <v>115</v>
      </c>
      <c r="C43" s="58"/>
      <c r="D43" s="172">
        <f>D9</f>
        <v>11000</v>
      </c>
      <c r="E43" s="46"/>
      <c r="F43" s="46"/>
      <c r="G43" s="14"/>
      <c r="H43" s="17"/>
      <c r="I43" s="17"/>
      <c r="J43" s="17"/>
      <c r="K43" s="21"/>
      <c r="L43" s="164">
        <f>L41+D36</f>
        <v>100000</v>
      </c>
      <c r="M43" s="164">
        <f>M41+D12</f>
        <v>46000</v>
      </c>
      <c r="N43" s="165">
        <f>N41+D12</f>
        <v>46016.098817468679</v>
      </c>
      <c r="O43" s="166">
        <f>O41+D12</f>
        <v>46566.077189628391</v>
      </c>
      <c r="P43" s="83"/>
      <c r="Q43" s="81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:41" ht="15.75" hidden="1" x14ac:dyDescent="0.25">
      <c r="A44" s="46"/>
      <c r="B44" s="22" t="s">
        <v>116</v>
      </c>
      <c r="C44" s="58"/>
      <c r="D44" s="151">
        <f>D36-D19</f>
        <v>100000.00000000926</v>
      </c>
      <c r="E44" s="2"/>
      <c r="F44" s="12"/>
      <c r="G44" s="21"/>
      <c r="H44" s="18"/>
      <c r="I44" s="17"/>
      <c r="J44" s="17"/>
      <c r="K44" s="21"/>
      <c r="L44" s="160">
        <f>L39-L40</f>
        <v>100000</v>
      </c>
      <c r="M44" s="21"/>
      <c r="N44" s="25"/>
      <c r="O44" s="82"/>
      <c r="P44" s="83"/>
      <c r="Q44" s="81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pans="1:41" hidden="1" x14ac:dyDescent="0.25">
      <c r="A45" s="46"/>
      <c r="B45" s="57"/>
      <c r="C45" s="10"/>
      <c r="D45" s="2"/>
      <c r="E45" s="19"/>
      <c r="F45" s="90"/>
      <c r="G45" s="17"/>
      <c r="H45" s="17"/>
      <c r="I45" s="17"/>
      <c r="J45" s="17"/>
      <c r="K45" s="21"/>
      <c r="L45" s="21"/>
      <c r="M45" s="21"/>
      <c r="N45" s="25"/>
      <c r="O45" s="82"/>
      <c r="P45" s="83"/>
      <c r="Q45" s="81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pans="1:41" hidden="1" x14ac:dyDescent="0.25">
      <c r="B46" s="57"/>
      <c r="C46" s="10"/>
      <c r="D46" s="147">
        <v>24</v>
      </c>
      <c r="E46" s="147">
        <v>36</v>
      </c>
      <c r="F46" s="148">
        <v>48</v>
      </c>
      <c r="G46" s="148">
        <v>60</v>
      </c>
      <c r="H46" s="17"/>
      <c r="I46" s="17"/>
      <c r="J46" s="17"/>
      <c r="L46" s="21"/>
      <c r="M46" s="21"/>
      <c r="N46" s="25"/>
      <c r="O46" s="82"/>
      <c r="P46" s="83"/>
      <c r="Q46" s="81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pans="1:41" hidden="1" x14ac:dyDescent="0.25">
      <c r="B47" s="57"/>
      <c r="C47" s="10"/>
      <c r="D47" s="19"/>
      <c r="E47" s="19"/>
      <c r="F47" s="90"/>
      <c r="G47" s="17"/>
      <c r="H47" s="17"/>
      <c r="I47" s="17"/>
      <c r="J47" s="17"/>
      <c r="K47" s="21"/>
      <c r="L47" s="21"/>
      <c r="M47" s="21"/>
      <c r="N47" s="25"/>
      <c r="O47" s="82"/>
      <c r="P47" s="83"/>
      <c r="Q47" s="81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pans="1:41" hidden="1" x14ac:dyDescent="0.25">
      <c r="B48" s="57" t="s">
        <v>117</v>
      </c>
      <c r="C48" s="10"/>
      <c r="D48" s="19">
        <f>(D36/D51)</f>
        <v>113391.54099104207</v>
      </c>
      <c r="E48" s="19">
        <f>D36/E51</f>
        <v>117384.66956215518</v>
      </c>
      <c r="F48" s="19">
        <f>D36/F51</f>
        <v>117082.30886313079</v>
      </c>
      <c r="G48" s="19">
        <f>D36/G51</f>
        <v>119488.58883976581</v>
      </c>
      <c r="H48" s="17"/>
      <c r="I48" s="17"/>
      <c r="J48" s="17"/>
      <c r="K48" s="21"/>
      <c r="L48" s="21"/>
      <c r="M48" s="21"/>
      <c r="N48" s="25"/>
      <c r="O48" s="82"/>
      <c r="P48" s="83"/>
      <c r="Q48" s="81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:41" hidden="1" x14ac:dyDescent="0.25">
      <c r="B49" s="57"/>
      <c r="C49" s="10"/>
      <c r="D49" s="19" t="str">
        <f>IF(D40-L16&lt;0,"0",D40-L16)</f>
        <v>0</v>
      </c>
      <c r="E49" s="19" t="str">
        <f>IF(E40-M16&lt;0,"0",E40-M16)</f>
        <v>0</v>
      </c>
      <c r="F49" s="19" t="str">
        <f>IF(F40-N16&lt;0,"0",F40-N16)</f>
        <v>0</v>
      </c>
      <c r="G49" s="19" t="str">
        <f>IF(G40-O16&lt;0,"0",G40-O16)</f>
        <v>0</v>
      </c>
      <c r="H49" s="17"/>
      <c r="I49" s="17"/>
      <c r="J49" s="17"/>
      <c r="K49" s="21"/>
      <c r="L49" s="21"/>
      <c r="M49" s="21"/>
      <c r="N49" s="25"/>
      <c r="O49" s="82"/>
      <c r="P49" s="83"/>
      <c r="Q49" s="81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41" hidden="1" x14ac:dyDescent="0.25">
      <c r="B50" s="57" t="s">
        <v>118</v>
      </c>
      <c r="C50" s="10"/>
      <c r="D50" s="19">
        <f>D48-D49-D60</f>
        <v>113391.54099104207</v>
      </c>
      <c r="E50" s="19">
        <f>E48-E49</f>
        <v>117384.66956215518</v>
      </c>
      <c r="F50" s="90">
        <f>F48-F49</f>
        <v>117082.30886313079</v>
      </c>
      <c r="G50" s="90">
        <f>G48-G49</f>
        <v>119488.58883976581</v>
      </c>
      <c r="H50" s="17"/>
      <c r="I50" s="17"/>
      <c r="J50" s="17"/>
      <c r="K50" s="21"/>
      <c r="L50" s="21"/>
      <c r="M50" s="21"/>
      <c r="N50" s="25"/>
      <c r="O50" s="84"/>
      <c r="P50" s="85"/>
      <c r="Q50" s="81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pans="1:41" hidden="1" x14ac:dyDescent="0.25">
      <c r="B51" s="57" t="s">
        <v>119</v>
      </c>
      <c r="C51" s="10"/>
      <c r="D51" s="10">
        <v>0.88190000000000002</v>
      </c>
      <c r="E51" s="10">
        <v>0.85189999999999999</v>
      </c>
      <c r="F51" s="222">
        <v>0.85409999999999997</v>
      </c>
      <c r="G51" s="221">
        <v>0.83689999999999998</v>
      </c>
      <c r="H51" s="17"/>
      <c r="I51" s="17"/>
      <c r="J51" s="17"/>
      <c r="K51" s="21"/>
      <c r="L51" s="21"/>
      <c r="M51" s="21"/>
      <c r="N51" s="21"/>
      <c r="O51" s="86"/>
      <c r="P51" s="87"/>
      <c r="Q51" s="81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pans="1:41" hidden="1" x14ac:dyDescent="0.25">
      <c r="B52" s="57"/>
      <c r="C52" s="10"/>
      <c r="D52" s="157">
        <f>L14-D9</f>
        <v>-5480</v>
      </c>
      <c r="E52" s="33">
        <f>M14-D9</f>
        <v>-4100</v>
      </c>
      <c r="F52" s="93"/>
      <c r="G52" s="17"/>
      <c r="H52" s="17"/>
      <c r="I52" s="17"/>
      <c r="J52" s="17"/>
      <c r="K52" s="21"/>
      <c r="L52" s="21"/>
      <c r="M52" s="21"/>
      <c r="N52" s="21"/>
      <c r="O52" s="86"/>
      <c r="P52" s="87"/>
      <c r="Q52" s="81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hidden="1" x14ac:dyDescent="0.25">
      <c r="B53" s="57"/>
      <c r="C53" s="10"/>
      <c r="D53" s="33">
        <f>L14-K24</f>
        <v>-2746.25</v>
      </c>
      <c r="E53" s="33">
        <f>M14-K24</f>
        <v>-1366.25</v>
      </c>
      <c r="F53" s="133">
        <f>N14-K24</f>
        <v>13.75</v>
      </c>
      <c r="G53" s="134">
        <f>O14-K24</f>
        <v>473.75</v>
      </c>
      <c r="H53" s="301">
        <f>P14-K24</f>
        <v>1393.75</v>
      </c>
      <c r="I53" s="17"/>
      <c r="J53" s="17"/>
      <c r="K53" s="21"/>
      <c r="L53" s="21"/>
      <c r="M53" s="21"/>
      <c r="N53" s="21"/>
      <c r="O53" s="86"/>
      <c r="P53" s="87"/>
      <c r="Q53" s="81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pans="1:41" hidden="1" x14ac:dyDescent="0.25">
      <c r="B54" s="57"/>
      <c r="C54" s="10"/>
      <c r="D54" s="33"/>
      <c r="E54" s="33"/>
      <c r="F54" s="93"/>
      <c r="G54" s="17"/>
      <c r="H54" s="17"/>
      <c r="I54" s="17"/>
      <c r="J54" s="17"/>
      <c r="K54" s="21"/>
      <c r="L54" s="21"/>
      <c r="M54" s="21"/>
      <c r="N54" s="21"/>
      <c r="O54" s="86"/>
      <c r="P54" s="87"/>
      <c r="Q54" s="81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hidden="1" x14ac:dyDescent="0.25">
      <c r="B55" s="57"/>
      <c r="C55" s="10"/>
      <c r="D55" s="33">
        <f>D54*0.1</f>
        <v>0</v>
      </c>
      <c r="E55" s="33">
        <f>D54*0.1325</f>
        <v>0</v>
      </c>
      <c r="F55" s="93">
        <f>D54*0.13</f>
        <v>0</v>
      </c>
      <c r="G55" s="135">
        <f>D54*0.15</f>
        <v>0</v>
      </c>
      <c r="H55" s="17"/>
      <c r="I55" s="3"/>
      <c r="J55" s="3"/>
      <c r="K55" s="3"/>
      <c r="L55" s="3"/>
      <c r="M55" s="3"/>
      <c r="N55" s="3"/>
      <c r="O55" s="86"/>
      <c r="P55" s="87"/>
      <c r="Q55" s="81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hidden="1" x14ac:dyDescent="0.25">
      <c r="B56" s="57"/>
      <c r="C56" s="10"/>
      <c r="D56" s="10"/>
      <c r="E56" s="10"/>
      <c r="F56" s="6"/>
      <c r="G56" s="17"/>
      <c r="H56" s="17"/>
      <c r="I56" s="3"/>
      <c r="J56" s="3"/>
      <c r="K56" s="3"/>
      <c r="L56" s="3"/>
      <c r="M56" s="3"/>
      <c r="N56" s="3"/>
      <c r="O56" s="86"/>
      <c r="P56" s="87"/>
      <c r="Q56" s="81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pans="1:41" hidden="1" x14ac:dyDescent="0.25">
      <c r="B57" s="57"/>
      <c r="C57" s="10"/>
      <c r="D57" s="10"/>
      <c r="E57" s="127"/>
      <c r="F57" s="128">
        <v>1.9900000000000001E-2</v>
      </c>
      <c r="G57" s="131">
        <v>1.9900000000000001E-2</v>
      </c>
      <c r="H57" s="300">
        <v>1.9900000000000001E-2</v>
      </c>
      <c r="I57" s="3"/>
      <c r="J57" s="3"/>
      <c r="K57" s="3"/>
      <c r="L57" s="3"/>
      <c r="M57" s="3"/>
      <c r="N57" s="3"/>
      <c r="O57" s="86"/>
      <c r="P57" s="87"/>
      <c r="Q57" s="81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pans="1:41" hidden="1" x14ac:dyDescent="0.25">
      <c r="B58" s="57"/>
      <c r="C58" s="10"/>
      <c r="D58" s="10"/>
      <c r="E58" s="10"/>
      <c r="F58" s="6">
        <v>48</v>
      </c>
      <c r="G58" s="17">
        <v>48</v>
      </c>
      <c r="H58" s="3">
        <v>60</v>
      </c>
      <c r="I58" s="3"/>
      <c r="J58" s="3"/>
      <c r="K58" s="3"/>
      <c r="L58" s="3"/>
      <c r="M58" s="3"/>
      <c r="N58" s="3"/>
      <c r="O58" s="86"/>
      <c r="P58" s="87"/>
      <c r="Q58" s="81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pans="1:41" hidden="1" x14ac:dyDescent="0.25">
      <c r="B59" s="57"/>
      <c r="C59" s="10"/>
      <c r="D59" s="10"/>
      <c r="E59" s="10"/>
      <c r="F59" s="6"/>
      <c r="G59" s="17"/>
      <c r="H59" s="3"/>
      <c r="I59" s="3"/>
      <c r="J59" s="3"/>
      <c r="K59" s="3"/>
      <c r="L59" s="3"/>
      <c r="M59" s="3"/>
      <c r="N59" s="3"/>
      <c r="O59" s="86"/>
      <c r="P59" s="87"/>
      <c r="Q59" s="81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pans="1:41" hidden="1" x14ac:dyDescent="0.25">
      <c r="B60" s="57" t="s">
        <v>120</v>
      </c>
      <c r="C60" s="19"/>
      <c r="D60" s="161" t="str">
        <f>IF(L16-L14&gt;0,"0",((L16-L14)/-D51))</f>
        <v>0</v>
      </c>
      <c r="E60" s="10"/>
      <c r="F60" s="136"/>
      <c r="G60" s="17"/>
      <c r="H60" s="3"/>
      <c r="I60" s="3"/>
      <c r="J60" s="3"/>
      <c r="K60" s="3"/>
      <c r="L60" s="3"/>
      <c r="M60" s="3"/>
      <c r="N60" s="3"/>
      <c r="O60" s="86"/>
      <c r="P60" s="87"/>
      <c r="Q60" s="81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pans="1:41" hidden="1" x14ac:dyDescent="0.25">
      <c r="B61" s="57"/>
      <c r="C61" s="19"/>
      <c r="D61" s="10"/>
      <c r="E61" s="10"/>
      <c r="F61" s="136"/>
      <c r="G61" s="17"/>
      <c r="H61" s="3"/>
      <c r="I61" s="3"/>
      <c r="J61" s="3"/>
      <c r="K61" s="3"/>
      <c r="L61" s="3"/>
      <c r="M61" s="3"/>
      <c r="N61" s="3"/>
      <c r="O61" s="86"/>
      <c r="P61" s="87"/>
      <c r="Q61" s="81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pans="1:41" hidden="1" x14ac:dyDescent="0.25">
      <c r="A62" s="46"/>
      <c r="B62" s="57"/>
      <c r="C62" s="19"/>
      <c r="D62" s="10"/>
      <c r="E62" s="10"/>
      <c r="F62" s="136"/>
      <c r="G62" s="17"/>
      <c r="H62" s="3"/>
      <c r="I62" s="3"/>
      <c r="J62" s="3"/>
      <c r="K62" s="3"/>
      <c r="L62" s="3"/>
      <c r="M62" s="3"/>
      <c r="N62" s="3"/>
      <c r="O62" s="86"/>
      <c r="P62" s="87"/>
      <c r="Q62" s="81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pans="1:41" x14ac:dyDescent="0.25">
      <c r="A63" s="46"/>
      <c r="B63" s="57"/>
      <c r="C63" s="19"/>
      <c r="D63" s="10"/>
      <c r="E63" s="10"/>
      <c r="F63" s="136"/>
      <c r="G63" s="17"/>
      <c r="H63" s="3"/>
      <c r="I63" s="3"/>
      <c r="J63" s="3"/>
      <c r="K63" s="3"/>
      <c r="L63" s="3"/>
      <c r="M63" s="3"/>
      <c r="N63" s="3"/>
      <c r="O63" s="86"/>
      <c r="P63" s="87"/>
      <c r="Q63" s="81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</row>
    <row r="64" spans="1:41" x14ac:dyDescent="0.25">
      <c r="A64" s="46"/>
      <c r="B64" s="10"/>
      <c r="C64" s="19"/>
      <c r="D64" s="10"/>
      <c r="E64" s="10"/>
      <c r="F64" s="136"/>
      <c r="G64" s="17"/>
      <c r="H64" s="3"/>
      <c r="I64" s="3"/>
      <c r="J64" s="3"/>
      <c r="K64" s="3"/>
      <c r="L64" s="3"/>
      <c r="M64" s="3"/>
      <c r="N64" s="3"/>
      <c r="O64" s="86"/>
      <c r="P64" s="87"/>
      <c r="Q64" s="81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</row>
    <row r="65" spans="1:41" x14ac:dyDescent="0.25">
      <c r="A65" s="46"/>
      <c r="B65" s="10"/>
      <c r="C65" s="19"/>
      <c r="D65" s="10"/>
      <c r="E65" s="10"/>
      <c r="F65" s="136"/>
      <c r="G65" s="17"/>
      <c r="H65" s="3"/>
      <c r="I65" s="3"/>
      <c r="J65" s="3"/>
      <c r="K65" s="3"/>
      <c r="L65" s="3"/>
      <c r="M65" s="3"/>
      <c r="N65" s="3"/>
      <c r="O65" s="86"/>
      <c r="P65" s="87"/>
      <c r="Q65" s="81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</row>
    <row r="66" spans="1:41" x14ac:dyDescent="0.25">
      <c r="A66" s="46"/>
      <c r="B66" s="22"/>
      <c r="C66" s="19"/>
      <c r="D66" s="10"/>
      <c r="E66" s="10"/>
      <c r="F66" s="136"/>
      <c r="G66" s="17"/>
      <c r="H66" s="3"/>
      <c r="I66" s="3"/>
      <c r="J66" s="3"/>
      <c r="K66" s="3"/>
      <c r="L66" s="3"/>
      <c r="M66" s="3"/>
      <c r="N66" s="3"/>
      <c r="O66" s="86"/>
      <c r="P66" s="87"/>
      <c r="Q66" s="81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</row>
    <row r="67" spans="1:41" x14ac:dyDescent="0.25">
      <c r="A67" s="46"/>
      <c r="B67" s="22"/>
      <c r="C67" s="19"/>
      <c r="D67" s="10"/>
      <c r="E67" s="10"/>
      <c r="F67" s="136"/>
      <c r="G67" s="17"/>
      <c r="H67" s="3"/>
      <c r="I67" s="3"/>
      <c r="J67" s="3"/>
      <c r="K67" s="3"/>
      <c r="L67" s="3"/>
      <c r="M67" s="3"/>
      <c r="N67" s="3"/>
      <c r="O67" s="86"/>
      <c r="P67" s="87"/>
      <c r="Q67" s="81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</row>
    <row r="68" spans="1:41" x14ac:dyDescent="0.25">
      <c r="A68" s="46"/>
      <c r="B68" s="22"/>
      <c r="C68" s="19"/>
      <c r="D68" s="10"/>
      <c r="E68" s="10"/>
      <c r="F68" s="6"/>
      <c r="G68" s="17"/>
      <c r="H68" s="3"/>
      <c r="I68" s="3"/>
      <c r="J68" s="3"/>
      <c r="K68" s="3"/>
      <c r="L68" s="3"/>
      <c r="M68" s="3"/>
      <c r="N68" s="3"/>
      <c r="O68" s="86"/>
      <c r="P68" s="87"/>
      <c r="Q68" s="81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</row>
    <row r="69" spans="1:41" x14ac:dyDescent="0.25">
      <c r="A69" s="46"/>
      <c r="B69" s="22"/>
      <c r="C69" s="19"/>
      <c r="D69" s="10"/>
      <c r="E69" s="19"/>
      <c r="F69" s="90"/>
      <c r="G69" s="17"/>
      <c r="H69" s="3"/>
      <c r="K69" s="3"/>
      <c r="L69" s="3"/>
      <c r="M69" s="3"/>
      <c r="N69" s="3"/>
      <c r="O69" s="86"/>
      <c r="P69" s="87"/>
      <c r="Q69" s="81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</row>
    <row r="70" spans="1:41" x14ac:dyDescent="0.25">
      <c r="A70" s="46"/>
      <c r="B70" s="22"/>
      <c r="C70" s="19"/>
      <c r="D70" s="19"/>
      <c r="E70" s="19"/>
      <c r="F70" s="90"/>
      <c r="G70" s="17"/>
      <c r="H70" s="3"/>
      <c r="I70" s="3"/>
      <c r="J70" s="3"/>
      <c r="K70" s="3"/>
      <c r="L70" s="3"/>
      <c r="M70" s="3"/>
      <c r="N70" s="3"/>
      <c r="O70" s="86"/>
      <c r="P70" s="87"/>
      <c r="Q70" s="81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</row>
    <row r="71" spans="1:41" x14ac:dyDescent="0.25">
      <c r="A71" s="46"/>
      <c r="B71" s="22"/>
      <c r="C71" s="19"/>
      <c r="D71" s="19"/>
      <c r="E71" s="19"/>
      <c r="F71" s="90"/>
      <c r="G71" s="17"/>
      <c r="H71" s="3"/>
      <c r="I71" s="21"/>
      <c r="J71" s="21"/>
      <c r="K71" s="10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pans="1:41" ht="18.75" x14ac:dyDescent="0.25">
      <c r="A72" s="46"/>
      <c r="B72" s="22"/>
      <c r="C72" s="19"/>
      <c r="D72" s="19"/>
      <c r="E72" s="19"/>
      <c r="F72" s="90"/>
      <c r="G72" s="17"/>
      <c r="I72" s="23"/>
      <c r="J72" s="23"/>
      <c r="K72" s="10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</row>
    <row r="73" spans="1:41" x14ac:dyDescent="0.25">
      <c r="A73" s="46"/>
      <c r="B73" s="22"/>
      <c r="C73" s="10"/>
      <c r="D73" s="19"/>
      <c r="E73" s="19"/>
      <c r="F73" s="90"/>
      <c r="G73" s="17"/>
      <c r="H73" s="3"/>
      <c r="I73" s="10"/>
      <c r="J73" s="10"/>
      <c r="K73" s="10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</row>
    <row r="74" spans="1:41" ht="18.75" x14ac:dyDescent="0.3">
      <c r="A74" s="46"/>
      <c r="B74" s="22"/>
      <c r="C74" s="10"/>
      <c r="D74" s="19"/>
      <c r="E74" s="19"/>
      <c r="F74" s="90"/>
      <c r="G74" s="6"/>
      <c r="H74" s="21"/>
      <c r="I74" s="20"/>
      <c r="J74" s="20"/>
      <c r="K74" s="10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</row>
    <row r="75" spans="1:41" ht="18.75" x14ac:dyDescent="0.25">
      <c r="A75" s="46"/>
      <c r="B75" s="22"/>
      <c r="C75" s="10"/>
      <c r="D75" s="19"/>
      <c r="E75" s="19"/>
      <c r="F75" s="90"/>
      <c r="G75" s="17"/>
      <c r="H75" s="23"/>
      <c r="I75" s="10"/>
      <c r="J75" s="10"/>
      <c r="K75" s="24"/>
      <c r="L75" s="4"/>
      <c r="M75" s="5"/>
      <c r="N75" s="86"/>
      <c r="O75" s="87"/>
      <c r="P75" s="88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</row>
    <row r="76" spans="1:41" x14ac:dyDescent="0.25">
      <c r="A76" s="46"/>
      <c r="B76" s="22"/>
      <c r="C76" s="10"/>
      <c r="D76" s="19"/>
      <c r="E76" s="19"/>
      <c r="F76" s="19"/>
      <c r="G76" s="21"/>
      <c r="H76" s="10"/>
      <c r="I76" s="10"/>
      <c r="J76" s="10"/>
      <c r="K76" s="10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</row>
    <row r="77" spans="1:41" ht="18.75" x14ac:dyDescent="0.3">
      <c r="A77" s="46"/>
      <c r="B77" s="22"/>
      <c r="C77" s="10"/>
      <c r="D77" s="19"/>
      <c r="E77" s="19"/>
      <c r="F77" s="19"/>
      <c r="G77" s="23"/>
      <c r="H77" s="20"/>
      <c r="I77" s="10"/>
      <c r="J77" s="10"/>
      <c r="K77" s="10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pans="1:41" x14ac:dyDescent="0.25">
      <c r="A78" s="46"/>
      <c r="B78" s="22"/>
      <c r="C78" s="10"/>
      <c r="D78" s="19"/>
      <c r="E78" s="19"/>
      <c r="F78" s="19"/>
      <c r="G78" s="10"/>
      <c r="H78" s="10"/>
      <c r="I78" s="10"/>
      <c r="J78" s="10"/>
      <c r="K78" s="10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41" ht="18.75" x14ac:dyDescent="0.3">
      <c r="A79" s="46"/>
      <c r="B79" s="10"/>
      <c r="C79" s="10"/>
      <c r="D79" s="19"/>
      <c r="E79" s="19"/>
      <c r="F79" s="19"/>
      <c r="G79" s="20"/>
      <c r="H79" s="10"/>
      <c r="I79" s="10"/>
      <c r="J79" s="10"/>
      <c r="K79" s="10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</row>
    <row r="80" spans="1:41" x14ac:dyDescent="0.25">
      <c r="A80" s="46"/>
      <c r="B80" s="10"/>
      <c r="C80" s="10"/>
      <c r="D80" s="19"/>
      <c r="E80" s="19"/>
      <c r="F80" s="19"/>
      <c r="G80" s="10"/>
      <c r="H80" s="10"/>
      <c r="I80" s="10"/>
      <c r="J80" s="10"/>
      <c r="K80" s="10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</row>
    <row r="81" spans="1:41" x14ac:dyDescent="0.25">
      <c r="A81" s="46"/>
      <c r="B81" s="10"/>
      <c r="C81" s="10"/>
      <c r="D81" s="19"/>
      <c r="E81" s="19"/>
      <c r="F81" s="19"/>
      <c r="G81" s="10"/>
      <c r="H81" s="10"/>
      <c r="I81" s="10"/>
      <c r="J81" s="10"/>
      <c r="K81" s="10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</row>
    <row r="82" spans="1:41" x14ac:dyDescent="0.25">
      <c r="A82" s="46"/>
      <c r="B82" s="10"/>
      <c r="C82" s="10"/>
      <c r="D82" s="19"/>
      <c r="E82" s="10"/>
      <c r="F82" s="10"/>
      <c r="G82" s="10"/>
      <c r="H82" s="10"/>
      <c r="I82" s="10"/>
      <c r="J82" s="10"/>
      <c r="K82" s="10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</row>
    <row r="83" spans="1:41" x14ac:dyDescent="0.25">
      <c r="A83" s="46"/>
      <c r="B83" s="10"/>
      <c r="C83" s="10"/>
      <c r="D83" s="10"/>
      <c r="E83" s="10"/>
      <c r="F83" s="10"/>
      <c r="G83" s="10"/>
      <c r="H83" s="10"/>
      <c r="I83" s="10"/>
      <c r="J83" s="10"/>
      <c r="K83" s="10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</row>
    <row r="84" spans="1:41" x14ac:dyDescent="0.25">
      <c r="A84" s="46"/>
      <c r="B84" s="10"/>
      <c r="C84" s="10"/>
      <c r="D84" s="10"/>
      <c r="E84" s="10"/>
      <c r="F84" s="10"/>
      <c r="G84" s="10"/>
      <c r="H84" s="10"/>
      <c r="I84" s="10"/>
      <c r="J84" s="10"/>
      <c r="K84" s="10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</row>
    <row r="85" spans="1:41" x14ac:dyDescent="0.25">
      <c r="A85" s="46"/>
      <c r="B85" s="10"/>
      <c r="C85" s="10"/>
      <c r="D85" s="10"/>
      <c r="E85" s="10"/>
      <c r="F85" s="10"/>
      <c r="G85" s="10"/>
      <c r="H85" s="10"/>
      <c r="I85" s="10"/>
      <c r="J85" s="10"/>
      <c r="K85" s="10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</row>
    <row r="86" spans="1:41" x14ac:dyDescent="0.25">
      <c r="A86" s="46"/>
      <c r="B86" s="10"/>
      <c r="C86" s="10"/>
      <c r="D86" s="10"/>
      <c r="E86" s="10"/>
      <c r="F86" s="10"/>
      <c r="G86" s="10"/>
      <c r="H86" s="10"/>
      <c r="I86" s="10"/>
      <c r="J86" s="10"/>
      <c r="K86" s="10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</row>
    <row r="87" spans="1:41" x14ac:dyDescent="0.25">
      <c r="A87" s="46"/>
      <c r="B87" s="10"/>
      <c r="C87" s="10"/>
      <c r="D87" s="10"/>
      <c r="E87" s="10"/>
      <c r="F87" s="10"/>
      <c r="G87" s="10"/>
      <c r="H87" s="10"/>
      <c r="I87" s="10"/>
      <c r="J87" s="10"/>
      <c r="K87" s="10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</row>
    <row r="88" spans="1:41" x14ac:dyDescent="0.25">
      <c r="A88" s="46"/>
      <c r="B88" s="10"/>
      <c r="C88" s="10"/>
      <c r="D88" s="10"/>
      <c r="E88" s="10"/>
      <c r="F88" s="10"/>
      <c r="G88" s="10"/>
      <c r="H88" s="10"/>
      <c r="I88" s="10"/>
      <c r="J88" s="10"/>
      <c r="K88" s="10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</row>
    <row r="89" spans="1:41" x14ac:dyDescent="0.25">
      <c r="A89" s="46"/>
      <c r="B89" s="10"/>
      <c r="C89" s="10"/>
      <c r="D89" s="10"/>
      <c r="E89" s="10"/>
      <c r="F89" s="10"/>
      <c r="G89" s="10"/>
      <c r="H89" s="10"/>
      <c r="I89" s="10"/>
      <c r="J89" s="10"/>
      <c r="K89" s="10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</row>
    <row r="90" spans="1:41" x14ac:dyDescent="0.25">
      <c r="A90" s="46"/>
      <c r="B90" s="10"/>
      <c r="C90" s="10"/>
      <c r="D90" s="10"/>
      <c r="E90" s="10"/>
      <c r="F90" s="10"/>
      <c r="G90" s="10"/>
      <c r="H90" s="10"/>
      <c r="I90" s="10"/>
      <c r="J90" s="10"/>
      <c r="K90" s="10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</row>
    <row r="91" spans="1:41" x14ac:dyDescent="0.25">
      <c r="A91" s="46"/>
      <c r="B91" s="10"/>
      <c r="C91" s="10"/>
      <c r="D91" s="10"/>
      <c r="E91" s="10"/>
      <c r="F91" s="10"/>
      <c r="G91" s="10"/>
      <c r="H91" s="10"/>
      <c r="I91" s="10"/>
      <c r="J91" s="10"/>
      <c r="K91" s="10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</row>
    <row r="92" spans="1:41" x14ac:dyDescent="0.25">
      <c r="A92" s="46"/>
      <c r="B92" s="10"/>
      <c r="C92" s="10"/>
      <c r="D92" s="10"/>
      <c r="E92" s="10"/>
      <c r="F92" s="10"/>
      <c r="G92" s="10"/>
      <c r="H92" s="10"/>
      <c r="I92" s="10"/>
      <c r="J92" s="10"/>
      <c r="K92" s="10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</row>
    <row r="93" spans="1:41" x14ac:dyDescent="0.25">
      <c r="A93" s="46"/>
      <c r="B93" s="10"/>
      <c r="C93" s="10"/>
      <c r="D93" s="10"/>
      <c r="E93" s="10"/>
      <c r="F93" s="10"/>
      <c r="G93" s="10"/>
      <c r="H93" s="10"/>
      <c r="I93" s="10"/>
      <c r="J93" s="10"/>
      <c r="K93" s="10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</row>
    <row r="94" spans="1:41" x14ac:dyDescent="0.25">
      <c r="A94" s="46"/>
      <c r="B94" s="10"/>
      <c r="C94" s="10"/>
      <c r="D94" s="10"/>
      <c r="E94" s="10"/>
      <c r="F94" s="10"/>
      <c r="G94" s="10"/>
      <c r="H94" s="10"/>
      <c r="I94" s="10"/>
      <c r="J94" s="10"/>
      <c r="K94" s="10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</row>
    <row r="95" spans="1:41" x14ac:dyDescent="0.25">
      <c r="A95" s="46"/>
      <c r="B95" s="10"/>
      <c r="C95" s="10"/>
      <c r="D95" s="10"/>
      <c r="E95" s="10"/>
      <c r="F95" s="10"/>
      <c r="G95" s="10"/>
      <c r="H95" s="10"/>
      <c r="I95" s="10"/>
      <c r="J95" s="10"/>
      <c r="K95" s="10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</row>
    <row r="96" spans="1:41" x14ac:dyDescent="0.25">
      <c r="A96" s="46"/>
      <c r="B96" s="10"/>
      <c r="C96" s="10"/>
      <c r="D96" s="10"/>
      <c r="E96" s="10"/>
      <c r="F96" s="10"/>
      <c r="G96" s="10"/>
      <c r="H96" s="10"/>
      <c r="I96" s="10"/>
      <c r="J96" s="10"/>
      <c r="K96" s="10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</row>
    <row r="97" spans="1:36" x14ac:dyDescent="0.25">
      <c r="A97" s="46"/>
      <c r="B97" s="10"/>
      <c r="C97" s="10"/>
      <c r="D97" s="10"/>
      <c r="E97" s="10"/>
      <c r="F97" s="10"/>
      <c r="G97" s="10"/>
      <c r="H97" s="10"/>
      <c r="I97" s="10"/>
      <c r="J97" s="10"/>
      <c r="K97" s="10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</row>
    <row r="98" spans="1:36" x14ac:dyDescent="0.25">
      <c r="A98" s="46"/>
      <c r="B98" s="10"/>
      <c r="C98" s="10"/>
      <c r="D98" s="10"/>
      <c r="E98" s="10"/>
      <c r="F98" s="10"/>
      <c r="G98" s="10"/>
      <c r="H98" s="10"/>
      <c r="I98" s="10"/>
      <c r="J98" s="10"/>
      <c r="K98" s="10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</row>
    <row r="99" spans="1:36" x14ac:dyDescent="0.25">
      <c r="A99" s="46"/>
      <c r="B99" s="10"/>
      <c r="C99" s="10"/>
      <c r="D99" s="10"/>
      <c r="E99" s="10"/>
      <c r="F99" s="10"/>
      <c r="G99" s="10"/>
      <c r="H99" s="10"/>
      <c r="I99" s="10"/>
      <c r="J99" s="10"/>
      <c r="K99" s="10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</row>
    <row r="100" spans="1:36" x14ac:dyDescent="0.25">
      <c r="A100" s="46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</row>
    <row r="101" spans="1:36" x14ac:dyDescent="0.25">
      <c r="A101" s="46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</row>
    <row r="102" spans="1:36" x14ac:dyDescent="0.25">
      <c r="A102" s="46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</row>
    <row r="103" spans="1:36" x14ac:dyDescent="0.25">
      <c r="A103" s="46"/>
      <c r="B103" s="10"/>
      <c r="C103" s="10"/>
      <c r="D103" s="10"/>
      <c r="E103" s="10"/>
      <c r="F103" s="10"/>
      <c r="G103" s="10"/>
      <c r="H103" s="10"/>
      <c r="I103" s="15"/>
      <c r="J103" s="15"/>
      <c r="K103" s="10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</row>
    <row r="104" spans="1:36" x14ac:dyDescent="0.25">
      <c r="A104" s="46"/>
      <c r="B104" s="10"/>
      <c r="D104" s="10"/>
      <c r="E104" s="10"/>
      <c r="F104" s="10"/>
      <c r="G104" s="10"/>
      <c r="H104" s="10"/>
      <c r="I104" s="15"/>
      <c r="J104" s="15"/>
      <c r="K104" s="10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</row>
    <row r="105" spans="1:36" x14ac:dyDescent="0.25">
      <c r="A105" s="46"/>
      <c r="B105" s="10"/>
      <c r="D105" s="10"/>
      <c r="E105" s="10"/>
      <c r="F105" s="10"/>
      <c r="G105" s="10"/>
      <c r="H105" s="10"/>
      <c r="I105" s="15"/>
      <c r="J105" s="15"/>
      <c r="K105" s="10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</row>
    <row r="106" spans="1:36" x14ac:dyDescent="0.25">
      <c r="A106" s="46"/>
      <c r="B106" s="10"/>
      <c r="D106" s="10"/>
      <c r="E106" s="10"/>
      <c r="F106" s="10"/>
      <c r="G106" s="10"/>
      <c r="H106" s="15"/>
      <c r="I106" s="15"/>
      <c r="J106" s="15"/>
      <c r="K106" s="10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</row>
    <row r="107" spans="1:36" x14ac:dyDescent="0.25">
      <c r="A107" s="46"/>
      <c r="B107" s="57"/>
      <c r="C107" s="46"/>
      <c r="D107" s="57"/>
      <c r="E107" s="57"/>
      <c r="F107" s="57"/>
      <c r="G107" s="57"/>
      <c r="H107" s="15"/>
      <c r="I107" s="15"/>
      <c r="J107" s="15"/>
      <c r="K107" s="10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</row>
    <row r="108" spans="1:36" x14ac:dyDescent="0.25">
      <c r="A108" s="46"/>
      <c r="B108" s="57"/>
      <c r="C108" s="46"/>
      <c r="D108" s="57"/>
      <c r="E108" s="57"/>
      <c r="F108" s="243"/>
      <c r="G108" s="243"/>
      <c r="H108" s="15"/>
      <c r="I108" s="15"/>
      <c r="J108" s="15"/>
      <c r="K108" s="10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</row>
    <row r="109" spans="1:36" x14ac:dyDescent="0.25">
      <c r="A109" s="46"/>
      <c r="B109" s="57"/>
      <c r="C109" s="46"/>
      <c r="D109" s="57"/>
      <c r="E109" s="57"/>
      <c r="F109" s="243"/>
      <c r="G109" s="243"/>
      <c r="H109" s="15"/>
      <c r="I109" s="15"/>
      <c r="J109" s="15"/>
      <c r="K109" s="10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</row>
    <row r="110" spans="1:36" x14ac:dyDescent="0.25">
      <c r="A110" s="46"/>
      <c r="B110" s="46"/>
      <c r="C110" s="46"/>
      <c r="D110" s="57"/>
      <c r="E110" s="57"/>
      <c r="F110" s="243"/>
      <c r="G110" s="243"/>
      <c r="H110" s="15"/>
      <c r="I110" s="15"/>
      <c r="J110" s="15"/>
      <c r="K110" s="10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</row>
    <row r="111" spans="1:36" x14ac:dyDescent="0.25">
      <c r="A111" s="46"/>
      <c r="B111" s="46"/>
      <c r="C111" s="46"/>
      <c r="D111" s="57"/>
      <c r="E111" s="57"/>
      <c r="F111" s="243"/>
      <c r="G111" s="243"/>
      <c r="H111" s="15"/>
      <c r="I111" s="15"/>
      <c r="J111" s="15"/>
      <c r="K111" s="10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</row>
    <row r="112" spans="1:36" x14ac:dyDescent="0.25">
      <c r="A112" s="46"/>
      <c r="B112" s="46"/>
      <c r="C112" s="46"/>
      <c r="D112" s="57"/>
      <c r="E112" s="57"/>
      <c r="F112" s="243"/>
      <c r="G112" s="243"/>
      <c r="H112" s="15"/>
      <c r="I112" s="15"/>
      <c r="J112" s="15"/>
      <c r="K112" s="10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</row>
    <row r="113" spans="1:36" x14ac:dyDescent="0.25">
      <c r="A113" s="46"/>
      <c r="B113" s="46"/>
      <c r="C113" s="46"/>
      <c r="D113" s="57"/>
      <c r="E113" s="46"/>
      <c r="F113" s="46"/>
      <c r="G113" s="243"/>
      <c r="H113" s="15"/>
      <c r="I113" s="15"/>
      <c r="J113" s="15"/>
      <c r="K113" s="10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</row>
    <row r="114" spans="1:36" x14ac:dyDescent="0.25">
      <c r="A114" s="46"/>
      <c r="B114" s="46"/>
      <c r="C114" s="46"/>
      <c r="D114" s="46"/>
      <c r="E114" s="46"/>
      <c r="F114" s="46"/>
      <c r="G114" s="243"/>
      <c r="H114" s="15"/>
      <c r="I114" s="15"/>
      <c r="J114" s="15"/>
      <c r="K114" s="10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</row>
    <row r="115" spans="1:36" x14ac:dyDescent="0.25">
      <c r="A115" s="46"/>
      <c r="B115" s="46"/>
      <c r="C115" s="46"/>
      <c r="D115" s="46"/>
      <c r="E115" s="46"/>
      <c r="F115" s="46"/>
      <c r="G115" s="243"/>
      <c r="H115" s="15"/>
      <c r="I115" s="15"/>
      <c r="J115" s="15"/>
      <c r="K115" s="10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</row>
    <row r="116" spans="1:36" x14ac:dyDescent="0.25">
      <c r="A116" s="46"/>
      <c r="B116" s="46"/>
      <c r="C116" s="46"/>
      <c r="D116" s="46"/>
      <c r="E116" s="46"/>
      <c r="F116" s="46"/>
      <c r="G116" s="243"/>
      <c r="H116" s="15"/>
      <c r="I116" s="15"/>
      <c r="J116" s="15"/>
      <c r="K116" s="10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</row>
    <row r="117" spans="1:36" x14ac:dyDescent="0.25">
      <c r="A117" s="46"/>
      <c r="B117" s="46"/>
      <c r="C117" s="46"/>
      <c r="D117" s="46"/>
      <c r="E117" s="46"/>
      <c r="F117" s="46"/>
      <c r="G117" s="243"/>
      <c r="H117" s="15"/>
      <c r="I117" s="15"/>
      <c r="J117" s="15"/>
      <c r="K117" s="10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</row>
    <row r="118" spans="1:36" x14ac:dyDescent="0.25">
      <c r="A118" s="46"/>
      <c r="B118" s="46"/>
      <c r="C118" s="46"/>
      <c r="D118" s="46"/>
      <c r="E118" s="46"/>
      <c r="F118" s="46"/>
      <c r="G118" s="243"/>
      <c r="H118" s="15"/>
      <c r="I118" s="15"/>
      <c r="J118" s="15"/>
      <c r="K118" s="10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</row>
    <row r="119" spans="1:36" x14ac:dyDescent="0.25">
      <c r="A119" s="46"/>
      <c r="B119" s="46"/>
      <c r="C119" s="46"/>
      <c r="D119" s="46"/>
      <c r="E119" s="46"/>
      <c r="F119" s="46"/>
      <c r="G119" s="243"/>
      <c r="H119" s="15"/>
      <c r="I119" s="15"/>
      <c r="J119" s="15"/>
      <c r="K119" s="10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</row>
    <row r="120" spans="1:36" x14ac:dyDescent="0.25">
      <c r="A120" s="46"/>
      <c r="B120" s="46"/>
      <c r="C120" s="46"/>
      <c r="D120" s="46"/>
      <c r="E120" s="46"/>
      <c r="F120" s="46"/>
      <c r="G120" s="243"/>
      <c r="H120" s="15"/>
      <c r="I120" s="15"/>
      <c r="J120" s="15"/>
      <c r="K120" s="10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</row>
    <row r="121" spans="1:36" x14ac:dyDescent="0.25">
      <c r="A121" s="46"/>
      <c r="B121" s="46"/>
      <c r="C121" s="46"/>
      <c r="D121" s="46"/>
      <c r="E121" s="46"/>
      <c r="F121" s="46"/>
      <c r="G121" s="243"/>
      <c r="H121" s="15"/>
      <c r="I121" s="15"/>
      <c r="J121" s="15"/>
      <c r="K121" s="10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</row>
    <row r="122" spans="1:36" x14ac:dyDescent="0.25">
      <c r="A122" s="46"/>
      <c r="B122" s="46"/>
      <c r="C122" s="46"/>
      <c r="D122" s="46"/>
      <c r="E122" s="46"/>
      <c r="F122" s="46"/>
      <c r="G122" s="243"/>
      <c r="H122" s="15"/>
      <c r="I122" s="15"/>
      <c r="J122" s="15"/>
      <c r="K122" s="10"/>
    </row>
    <row r="123" spans="1:36" x14ac:dyDescent="0.25">
      <c r="G123" s="15"/>
      <c r="H123" s="15"/>
      <c r="I123" s="15"/>
      <c r="J123" s="15"/>
      <c r="K123" s="10"/>
    </row>
    <row r="124" spans="1:36" x14ac:dyDescent="0.25">
      <c r="G124" s="15"/>
      <c r="H124" s="15"/>
      <c r="I124" s="15"/>
      <c r="J124" s="15"/>
      <c r="K124" s="10"/>
    </row>
    <row r="125" spans="1:36" x14ac:dyDescent="0.25">
      <c r="G125" s="15"/>
      <c r="H125" s="15"/>
      <c r="I125" s="15"/>
      <c r="J125" s="15"/>
      <c r="K125" s="10"/>
    </row>
    <row r="126" spans="1:36" x14ac:dyDescent="0.25">
      <c r="G126" s="15"/>
      <c r="H126" s="15"/>
      <c r="I126" s="15"/>
      <c r="J126" s="15"/>
      <c r="K126" s="10"/>
    </row>
    <row r="127" spans="1:36" x14ac:dyDescent="0.25">
      <c r="G127" s="15"/>
      <c r="H127" s="15"/>
      <c r="I127" s="15"/>
      <c r="J127" s="15"/>
      <c r="K127" s="10"/>
    </row>
    <row r="128" spans="1:36" x14ac:dyDescent="0.25">
      <c r="G128" s="15"/>
      <c r="H128" s="15"/>
      <c r="I128" s="15"/>
      <c r="J128" s="15"/>
      <c r="K128" s="10"/>
    </row>
    <row r="129" spans="7:11" x14ac:dyDescent="0.25">
      <c r="G129" s="15"/>
      <c r="H129" s="15"/>
      <c r="I129" s="15"/>
      <c r="J129" s="15"/>
      <c r="K129" s="10"/>
    </row>
    <row r="130" spans="7:11" x14ac:dyDescent="0.25">
      <c r="G130" s="15"/>
      <c r="H130" s="15"/>
      <c r="I130" s="15"/>
      <c r="J130" s="15"/>
      <c r="K130" s="10"/>
    </row>
    <row r="131" spans="7:11" x14ac:dyDescent="0.25">
      <c r="G131" s="15"/>
      <c r="H131" s="15"/>
      <c r="I131" s="15"/>
      <c r="J131" s="15"/>
      <c r="K131" s="10"/>
    </row>
    <row r="132" spans="7:11" x14ac:dyDescent="0.25">
      <c r="G132" s="15"/>
      <c r="H132" s="15"/>
      <c r="I132" s="15"/>
      <c r="J132" s="15"/>
      <c r="K132" s="10"/>
    </row>
    <row r="133" spans="7:11" x14ac:dyDescent="0.25">
      <c r="G133" s="15"/>
      <c r="H133" s="15"/>
      <c r="I133" s="15"/>
      <c r="J133" s="15"/>
      <c r="K133" s="10"/>
    </row>
    <row r="134" spans="7:11" x14ac:dyDescent="0.25">
      <c r="G134" s="15"/>
      <c r="H134" s="15"/>
      <c r="I134" s="15"/>
      <c r="J134" s="15"/>
      <c r="K134" s="10"/>
    </row>
    <row r="135" spans="7:11" x14ac:dyDescent="0.25">
      <c r="G135" s="15"/>
      <c r="H135" s="15"/>
      <c r="I135" s="15"/>
      <c r="J135" s="15"/>
      <c r="K135" s="10"/>
    </row>
    <row r="136" spans="7:11" x14ac:dyDescent="0.25">
      <c r="G136" s="15"/>
      <c r="H136" s="15"/>
      <c r="I136" s="15"/>
      <c r="J136" s="15"/>
      <c r="K136" s="10"/>
    </row>
    <row r="137" spans="7:11" x14ac:dyDescent="0.25">
      <c r="G137" s="15"/>
      <c r="H137" s="15"/>
      <c r="I137" s="15"/>
      <c r="J137" s="15"/>
      <c r="K137" s="10"/>
    </row>
    <row r="138" spans="7:11" x14ac:dyDescent="0.25">
      <c r="G138" s="15"/>
      <c r="H138" s="15"/>
      <c r="I138" s="15"/>
      <c r="J138" s="15"/>
      <c r="K138" s="10"/>
    </row>
    <row r="139" spans="7:11" x14ac:dyDescent="0.25">
      <c r="G139" s="15"/>
      <c r="H139" s="15"/>
      <c r="I139" s="15"/>
      <c r="J139" s="15"/>
      <c r="K139" s="10"/>
    </row>
    <row r="140" spans="7:11" x14ac:dyDescent="0.25">
      <c r="G140" s="15"/>
      <c r="H140" s="15"/>
      <c r="I140" s="15"/>
      <c r="J140" s="15"/>
      <c r="K140" s="10"/>
    </row>
    <row r="141" spans="7:11" x14ac:dyDescent="0.25">
      <c r="G141" s="15"/>
      <c r="H141" s="15"/>
      <c r="I141" s="15"/>
      <c r="J141" s="15"/>
      <c r="K141" s="10"/>
    </row>
    <row r="142" spans="7:11" x14ac:dyDescent="0.25">
      <c r="G142" s="15"/>
      <c r="H142" s="15"/>
      <c r="I142" s="15"/>
      <c r="J142" s="15"/>
      <c r="K142" s="10"/>
    </row>
    <row r="143" spans="7:11" x14ac:dyDescent="0.25">
      <c r="G143" s="15"/>
      <c r="H143" s="15"/>
      <c r="I143" s="15"/>
      <c r="J143" s="15"/>
      <c r="K143" s="10"/>
    </row>
    <row r="144" spans="7:11" x14ac:dyDescent="0.25">
      <c r="G144" s="15"/>
      <c r="H144" s="15"/>
      <c r="I144" s="15"/>
      <c r="J144" s="15"/>
      <c r="K144" s="10"/>
    </row>
    <row r="145" spans="7:11" x14ac:dyDescent="0.25">
      <c r="G145" s="15"/>
      <c r="H145" s="15"/>
      <c r="I145" s="15"/>
      <c r="J145" s="15"/>
      <c r="K145" s="10"/>
    </row>
    <row r="146" spans="7:11" x14ac:dyDescent="0.25">
      <c r="G146" s="15"/>
      <c r="H146" s="15"/>
      <c r="I146" s="15"/>
      <c r="J146" s="15"/>
      <c r="K146" s="10"/>
    </row>
    <row r="147" spans="7:11" x14ac:dyDescent="0.25">
      <c r="G147" s="15"/>
      <c r="H147" s="15"/>
      <c r="I147" s="15"/>
      <c r="J147" s="15"/>
      <c r="K147" s="10"/>
    </row>
    <row r="148" spans="7:11" x14ac:dyDescent="0.25">
      <c r="G148" s="15"/>
      <c r="H148" s="15"/>
      <c r="I148" s="15"/>
      <c r="J148" s="15"/>
      <c r="K148" s="10"/>
    </row>
    <row r="149" spans="7:11" x14ac:dyDescent="0.25">
      <c r="G149" s="15"/>
      <c r="H149" s="15"/>
      <c r="I149" s="15"/>
      <c r="J149" s="15"/>
      <c r="K149" s="10"/>
    </row>
    <row r="150" spans="7:11" x14ac:dyDescent="0.25">
      <c r="G150" s="15"/>
      <c r="H150" s="15"/>
      <c r="I150" s="15"/>
      <c r="J150" s="15"/>
      <c r="K150" s="10"/>
    </row>
    <row r="151" spans="7:11" x14ac:dyDescent="0.25">
      <c r="G151" s="15"/>
      <c r="H151" s="15"/>
      <c r="I151" s="15"/>
      <c r="J151" s="15"/>
      <c r="K151" s="10"/>
    </row>
    <row r="152" spans="7:11" x14ac:dyDescent="0.25">
      <c r="G152" s="15"/>
      <c r="H152" s="15"/>
      <c r="I152" s="15"/>
      <c r="J152" s="15"/>
      <c r="K152" s="10"/>
    </row>
    <row r="153" spans="7:11" x14ac:dyDescent="0.25">
      <c r="G153" s="15"/>
      <c r="H153" s="15"/>
    </row>
    <row r="154" spans="7:11" x14ac:dyDescent="0.25">
      <c r="G154" s="15"/>
      <c r="H154" s="15"/>
    </row>
    <row r="155" spans="7:11" x14ac:dyDescent="0.25">
      <c r="G155" s="15"/>
      <c r="H155" s="15"/>
    </row>
    <row r="156" spans="7:11" x14ac:dyDescent="0.25">
      <c r="G156" s="15"/>
    </row>
    <row r="157" spans="7:11" x14ac:dyDescent="0.25">
      <c r="G157" s="15"/>
    </row>
    <row r="158" spans="7:11" x14ac:dyDescent="0.25">
      <c r="G158" s="15"/>
    </row>
    <row r="159" spans="7:11" x14ac:dyDescent="0.25">
      <c r="G159" s="15"/>
    </row>
    <row r="160" spans="7:11" x14ac:dyDescent="0.25">
      <c r="G160" s="15"/>
    </row>
    <row r="161" spans="7:7" x14ac:dyDescent="0.25">
      <c r="G161" s="15"/>
    </row>
    <row r="162" spans="7:7" x14ac:dyDescent="0.25">
      <c r="G162" s="15"/>
    </row>
    <row r="163" spans="7:7" x14ac:dyDescent="0.25">
      <c r="G163" s="15"/>
    </row>
    <row r="164" spans="7:7" x14ac:dyDescent="0.25">
      <c r="G164" s="15"/>
    </row>
    <row r="165" spans="7:7" x14ac:dyDescent="0.25">
      <c r="G165" s="15"/>
    </row>
    <row r="166" spans="7:7" x14ac:dyDescent="0.25">
      <c r="G166" s="15"/>
    </row>
    <row r="167" spans="7:7" x14ac:dyDescent="0.25">
      <c r="G167" s="15"/>
    </row>
    <row r="168" spans="7:7" x14ac:dyDescent="0.25">
      <c r="G168" s="15"/>
    </row>
    <row r="169" spans="7:7" x14ac:dyDescent="0.25">
      <c r="G169" s="15"/>
    </row>
    <row r="170" spans="7:7" x14ac:dyDescent="0.25">
      <c r="G170" s="15"/>
    </row>
    <row r="171" spans="7:7" x14ac:dyDescent="0.25">
      <c r="G171" s="15"/>
    </row>
    <row r="172" spans="7:7" x14ac:dyDescent="0.25">
      <c r="G172" s="16"/>
    </row>
  </sheetData>
  <mergeCells count="6">
    <mergeCell ref="B2:H2"/>
    <mergeCell ref="B3:H3"/>
    <mergeCell ref="L17:M17"/>
    <mergeCell ref="L32:M32"/>
    <mergeCell ref="L33:M35"/>
    <mergeCell ref="D35:G35"/>
  </mergeCells>
  <dataValidations count="1">
    <dataValidation type="list" allowBlank="1" showInputMessage="1" showErrorMessage="1" sqref="D37" xr:uid="{801EDEA6-DD83-40BB-ADFD-753A6940B3A3}">
      <formula1>"24, 36, 48, 60"</formula1>
    </dataValidation>
  </dataValidations>
  <hyperlinks>
    <hyperlink ref="B23" r:id="rId1" xr:uid="{E705B69B-1529-41D2-A4E3-AC4705AB273E}"/>
    <hyperlink ref="D30" r:id="rId2" xr:uid="{9BB3A24F-FBD6-4CD0-878B-B4DC68091C73}"/>
  </hyperlinks>
  <pageMargins left="0.7" right="0.7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5c68c85-ae3b-46cc-aa20-25d3adbe44c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4804E30BE4848B2E9DBC14907C35D" ma:contentTypeVersion="16" ma:contentTypeDescription="Create a new document." ma:contentTypeScope="" ma:versionID="2e91c6613c4e99f89e09be12bfa3a4a0">
  <xsd:schema xmlns:xsd="http://www.w3.org/2001/XMLSchema" xmlns:xs="http://www.w3.org/2001/XMLSchema" xmlns:p="http://schemas.microsoft.com/office/2006/metadata/properties" xmlns:ns3="95c68c85-ae3b-46cc-aa20-25d3adbe44c6" xmlns:ns4="75e592d1-3652-46f9-9354-601f0c33b9d3" targetNamespace="http://schemas.microsoft.com/office/2006/metadata/properties" ma:root="true" ma:fieldsID="d0fbdefb76f356570b26a5c700c6df87" ns3:_="" ns4:_="">
    <xsd:import namespace="95c68c85-ae3b-46cc-aa20-25d3adbe44c6"/>
    <xsd:import namespace="75e592d1-3652-46f9-9354-601f0c33b9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68c85-ae3b-46cc-aa20-25d3adbe4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592d1-3652-46f9-9354-601f0c33b9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49E235-F056-48B2-973F-8C4E99241D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355AF-6D60-47ED-9325-518BA4DC8504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5e592d1-3652-46f9-9354-601f0c33b9d3"/>
    <ds:schemaRef ds:uri="95c68c85-ae3b-46cc-aa20-25d3adbe44c6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E238B42-D25B-4553-A4B3-C3E939ECA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68c85-ae3b-46cc-aa20-25d3adbe44c6"/>
    <ds:schemaRef ds:uri="75e592d1-3652-46f9-9354-601f0c33b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 C&amp;I GAS</vt:lpstr>
      <vt:lpstr>Blended Rates MA C&amp;I GAS</vt:lpstr>
      <vt:lpstr>Small Business</vt:lpstr>
      <vt:lpstr>Blended Rates SB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Patton</dc:creator>
  <cp:keywords/>
  <dc:description/>
  <cp:lastModifiedBy>Joshua Patton</cp:lastModifiedBy>
  <cp:revision/>
  <cp:lastPrinted>2023-03-30T15:39:23Z</cp:lastPrinted>
  <dcterms:created xsi:type="dcterms:W3CDTF">2019-04-29T17:39:40Z</dcterms:created>
  <dcterms:modified xsi:type="dcterms:W3CDTF">2023-10-25T16:06:09Z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0x01010096F4804E30BE4848B2E9DBC14907C35D</vt:lpwstr>
  </property>
  <property fmtid="{D5CDD505-2E9C-101B-9397-08002B2CF9AE}" pid="3" name="MSIP_Label_c40dd8de-ade1-4a71-9328-0823b39faa13_Enabled">
    <vt:lpwstr>true</vt:lpwstr>
  </property>
  <property fmtid="{D5CDD505-2E9C-101B-9397-08002B2CF9AE}" pid="4" name="MSIP_Label_c40dd8de-ade1-4a71-9328-0823b39faa13_SetDate">
    <vt:lpwstr>2021-09-24T15:15:04Z</vt:lpwstr>
  </property>
  <property fmtid="{D5CDD505-2E9C-101B-9397-08002B2CF9AE}" pid="5" name="MSIP_Label_c40dd8de-ade1-4a71-9328-0823b39faa13_Method">
    <vt:lpwstr>Standard</vt:lpwstr>
  </property>
  <property fmtid="{D5CDD505-2E9C-101B-9397-08002B2CF9AE}" pid="6" name="MSIP_Label_c40dd8de-ade1-4a71-9328-0823b39faa13_Name">
    <vt:lpwstr>c40dd8de-ade1-4a71-9328-0823b39faa13</vt:lpwstr>
  </property>
  <property fmtid="{D5CDD505-2E9C-101B-9397-08002B2CF9AE}" pid="7" name="MSIP_Label_c40dd8de-ade1-4a71-9328-0823b39faa13_SiteId">
    <vt:lpwstr>5106ea48-5455-4f16-9fdc-caa5bfaf19dd</vt:lpwstr>
  </property>
  <property fmtid="{D5CDD505-2E9C-101B-9397-08002B2CF9AE}" pid="8" name="MSIP_Label_c40dd8de-ade1-4a71-9328-0823b39faa13_ActionId">
    <vt:lpwstr>5906e07c-836f-4cee-bd22-3f98824c9356</vt:lpwstr>
  </property>
  <property fmtid="{D5CDD505-2E9C-101B-9397-08002B2CF9AE}" pid="9" name="MSIP_Label_c40dd8de-ade1-4a71-9328-0823b39faa13_ContentBits">
    <vt:lpwstr>2</vt:lpwstr>
  </property>
</Properties>
</file>